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9320" windowHeight="7995" activeTab="3"/>
  </bookViews>
  <sheets>
    <sheet name="inputdata" sheetId="4" r:id="rId1"/>
    <sheet name="Designdata" sheetId="6" r:id="rId2"/>
    <sheet name="Design" sheetId="2" state="hidden" r:id="rId3"/>
    <sheet name="chart" sheetId="5" r:id="rId4"/>
    <sheet name="Dilute phase" sheetId="3" r:id="rId5"/>
    <sheet name="Dense Phase" sheetId="7" r:id="rId6"/>
  </sheets>
  <calcPr calcId="125725" iterate="1"/>
</workbook>
</file>

<file path=xl/calcChain.xml><?xml version="1.0" encoding="utf-8"?>
<calcChain xmlns="http://schemas.openxmlformats.org/spreadsheetml/2006/main">
  <c r="B18" i="7"/>
  <c r="D4"/>
  <c r="D3"/>
  <c r="D2"/>
  <c r="D1"/>
  <c r="E18"/>
  <c r="N16" i="3"/>
  <c r="AE20" i="7"/>
  <c r="C13"/>
  <c r="F20" s="1"/>
  <c r="M20"/>
  <c r="L20"/>
  <c r="K20"/>
  <c r="J20"/>
  <c r="I20"/>
  <c r="E20"/>
  <c r="P20" s="1"/>
  <c r="C10"/>
  <c r="AD10" s="1"/>
  <c r="M18"/>
  <c r="L18"/>
  <c r="K18"/>
  <c r="J18"/>
  <c r="I18"/>
  <c r="C9"/>
  <c r="F18" s="1"/>
  <c r="B9" i="3"/>
  <c r="E16" s="1"/>
  <c r="D16"/>
  <c r="F16"/>
  <c r="AD16"/>
  <c r="V3" i="6"/>
  <c r="V4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2"/>
  <c r="Z2" s="1"/>
  <c r="J2" i="4"/>
  <c r="I41" i="6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2"/>
  <c r="P41"/>
  <c r="N41"/>
  <c r="R41" s="1"/>
  <c r="M41"/>
  <c r="L41"/>
  <c r="O41" s="1"/>
  <c r="H41"/>
  <c r="T40"/>
  <c r="U40" s="1"/>
  <c r="X40" s="1"/>
  <c r="P40"/>
  <c r="N40"/>
  <c r="R40" s="1"/>
  <c r="M40"/>
  <c r="L40"/>
  <c r="O40" s="1"/>
  <c r="S40" s="1"/>
  <c r="W40" s="1"/>
  <c r="H40"/>
  <c r="Y40" s="1"/>
  <c r="P39"/>
  <c r="N39"/>
  <c r="R39" s="1"/>
  <c r="M39"/>
  <c r="L39"/>
  <c r="O39" s="1"/>
  <c r="S39" s="1"/>
  <c r="W39" s="1"/>
  <c r="H39"/>
  <c r="Y39" s="1"/>
  <c r="P38"/>
  <c r="N38"/>
  <c r="R38" s="1"/>
  <c r="M38"/>
  <c r="L38"/>
  <c r="O38" s="1"/>
  <c r="S38" s="1"/>
  <c r="W38" s="1"/>
  <c r="H38"/>
  <c r="P37"/>
  <c r="N37"/>
  <c r="R37" s="1"/>
  <c r="M37"/>
  <c r="L37"/>
  <c r="O37" s="1"/>
  <c r="S37" s="1"/>
  <c r="W37" s="1"/>
  <c r="H37"/>
  <c r="Y37" s="1"/>
  <c r="P36"/>
  <c r="N36"/>
  <c r="R36" s="1"/>
  <c r="M36"/>
  <c r="L36"/>
  <c r="O36" s="1"/>
  <c r="S36" s="1"/>
  <c r="W36" s="1"/>
  <c r="H36"/>
  <c r="P35"/>
  <c r="N35"/>
  <c r="R35" s="1"/>
  <c r="M35"/>
  <c r="L35"/>
  <c r="O35" s="1"/>
  <c r="S35" s="1"/>
  <c r="W35" s="1"/>
  <c r="H35"/>
  <c r="Y35" s="1"/>
  <c r="P34"/>
  <c r="N34"/>
  <c r="R34" s="1"/>
  <c r="M34"/>
  <c r="L34"/>
  <c r="O34" s="1"/>
  <c r="S34" s="1"/>
  <c r="W34" s="1"/>
  <c r="H34"/>
  <c r="P33"/>
  <c r="N33"/>
  <c r="R33" s="1"/>
  <c r="M33"/>
  <c r="L33"/>
  <c r="O33" s="1"/>
  <c r="S33" s="1"/>
  <c r="W33" s="1"/>
  <c r="H33"/>
  <c r="Y33" s="1"/>
  <c r="P32"/>
  <c r="N32"/>
  <c r="R32" s="1"/>
  <c r="M32"/>
  <c r="L32"/>
  <c r="O32" s="1"/>
  <c r="S32" s="1"/>
  <c r="W32" s="1"/>
  <c r="H32"/>
  <c r="P31"/>
  <c r="N31"/>
  <c r="R31" s="1"/>
  <c r="M31"/>
  <c r="L31"/>
  <c r="O31" s="1"/>
  <c r="S31" s="1"/>
  <c r="W31" s="1"/>
  <c r="H31"/>
  <c r="Y31" s="1"/>
  <c r="P30"/>
  <c r="N30"/>
  <c r="R30" s="1"/>
  <c r="M30"/>
  <c r="L30"/>
  <c r="O30" s="1"/>
  <c r="S30" s="1"/>
  <c r="W30" s="1"/>
  <c r="H30"/>
  <c r="P29"/>
  <c r="N29"/>
  <c r="R29" s="1"/>
  <c r="M29"/>
  <c r="L29"/>
  <c r="O29" s="1"/>
  <c r="S29" s="1"/>
  <c r="W29" s="1"/>
  <c r="H29"/>
  <c r="Y29" s="1"/>
  <c r="P28"/>
  <c r="N28"/>
  <c r="R28" s="1"/>
  <c r="M28"/>
  <c r="L28"/>
  <c r="O28" s="1"/>
  <c r="S28" s="1"/>
  <c r="W28" s="1"/>
  <c r="H28"/>
  <c r="P27"/>
  <c r="N27"/>
  <c r="R27" s="1"/>
  <c r="M27"/>
  <c r="L27"/>
  <c r="O27" s="1"/>
  <c r="S27" s="1"/>
  <c r="W27" s="1"/>
  <c r="H27"/>
  <c r="Y27" s="1"/>
  <c r="P26"/>
  <c r="N26"/>
  <c r="R26" s="1"/>
  <c r="M26"/>
  <c r="L26"/>
  <c r="O26" s="1"/>
  <c r="S26" s="1"/>
  <c r="W26" s="1"/>
  <c r="H26"/>
  <c r="P25"/>
  <c r="N25"/>
  <c r="R25" s="1"/>
  <c r="M25"/>
  <c r="L25"/>
  <c r="O25" s="1"/>
  <c r="S25" s="1"/>
  <c r="W25" s="1"/>
  <c r="H25"/>
  <c r="Y25" s="1"/>
  <c r="P24"/>
  <c r="N24"/>
  <c r="R24" s="1"/>
  <c r="M24"/>
  <c r="L24"/>
  <c r="O24" s="1"/>
  <c r="S24" s="1"/>
  <c r="W24" s="1"/>
  <c r="H24"/>
  <c r="T23"/>
  <c r="U23" s="1"/>
  <c r="X23" s="1"/>
  <c r="P23"/>
  <c r="N23"/>
  <c r="R23" s="1"/>
  <c r="M23"/>
  <c r="L23"/>
  <c r="O23" s="1"/>
  <c r="S23" s="1"/>
  <c r="W23" s="1"/>
  <c r="H23"/>
  <c r="Y23" s="1"/>
  <c r="P22"/>
  <c r="N22"/>
  <c r="R22" s="1"/>
  <c r="M22"/>
  <c r="L22"/>
  <c r="O22" s="1"/>
  <c r="S22" s="1"/>
  <c r="W22" s="1"/>
  <c r="H22"/>
  <c r="T21"/>
  <c r="U21" s="1"/>
  <c r="X21" s="1"/>
  <c r="P21"/>
  <c r="N21"/>
  <c r="R21" s="1"/>
  <c r="M21"/>
  <c r="L21"/>
  <c r="O21" s="1"/>
  <c r="S21" s="1"/>
  <c r="W21" s="1"/>
  <c r="H21"/>
  <c r="Y21" s="1"/>
  <c r="P20"/>
  <c r="N20"/>
  <c r="R20" s="1"/>
  <c r="M20"/>
  <c r="L20"/>
  <c r="O20" s="1"/>
  <c r="S20" s="1"/>
  <c r="W20" s="1"/>
  <c r="H20"/>
  <c r="T19"/>
  <c r="U19" s="1"/>
  <c r="X19" s="1"/>
  <c r="P19"/>
  <c r="N19"/>
  <c r="R19" s="1"/>
  <c r="M19"/>
  <c r="L19"/>
  <c r="O19" s="1"/>
  <c r="S19" s="1"/>
  <c r="W19" s="1"/>
  <c r="H19"/>
  <c r="Y19" s="1"/>
  <c r="P18"/>
  <c r="N18"/>
  <c r="R18" s="1"/>
  <c r="M18"/>
  <c r="L18"/>
  <c r="O18" s="1"/>
  <c r="S18" s="1"/>
  <c r="W18" s="1"/>
  <c r="H18"/>
  <c r="T17"/>
  <c r="U17" s="1"/>
  <c r="X17" s="1"/>
  <c r="P17"/>
  <c r="N17"/>
  <c r="R17" s="1"/>
  <c r="M17"/>
  <c r="L17"/>
  <c r="O17" s="1"/>
  <c r="S17" s="1"/>
  <c r="W17" s="1"/>
  <c r="H17"/>
  <c r="Y17" s="1"/>
  <c r="P16"/>
  <c r="N16"/>
  <c r="R16" s="1"/>
  <c r="M16"/>
  <c r="L16"/>
  <c r="O16" s="1"/>
  <c r="S16" s="1"/>
  <c r="W16" s="1"/>
  <c r="H16"/>
  <c r="T15"/>
  <c r="U15" s="1"/>
  <c r="X15" s="1"/>
  <c r="P15"/>
  <c r="N15"/>
  <c r="R15" s="1"/>
  <c r="M15"/>
  <c r="L15"/>
  <c r="O15" s="1"/>
  <c r="S15" s="1"/>
  <c r="W15" s="1"/>
  <c r="H15"/>
  <c r="Y15" s="1"/>
  <c r="P14"/>
  <c r="N14"/>
  <c r="R14" s="1"/>
  <c r="M14"/>
  <c r="L14"/>
  <c r="O14" s="1"/>
  <c r="S14" s="1"/>
  <c r="W14" s="1"/>
  <c r="H14"/>
  <c r="T13"/>
  <c r="U13" s="1"/>
  <c r="X13" s="1"/>
  <c r="P13"/>
  <c r="N13"/>
  <c r="R13" s="1"/>
  <c r="M13"/>
  <c r="L13"/>
  <c r="O13" s="1"/>
  <c r="S13" s="1"/>
  <c r="W13" s="1"/>
  <c r="H13"/>
  <c r="Y13" s="1"/>
  <c r="P12"/>
  <c r="N12"/>
  <c r="R12" s="1"/>
  <c r="M12"/>
  <c r="L12"/>
  <c r="O12" s="1"/>
  <c r="S12" s="1"/>
  <c r="W12" s="1"/>
  <c r="H12"/>
  <c r="T11"/>
  <c r="U11" s="1"/>
  <c r="X11" s="1"/>
  <c r="P11"/>
  <c r="N11"/>
  <c r="R11" s="1"/>
  <c r="M11"/>
  <c r="L11"/>
  <c r="O11" s="1"/>
  <c r="S11" s="1"/>
  <c r="W11" s="1"/>
  <c r="H11"/>
  <c r="Y11" s="1"/>
  <c r="P10"/>
  <c r="N10"/>
  <c r="R10" s="1"/>
  <c r="M10"/>
  <c r="L10"/>
  <c r="O10" s="1"/>
  <c r="S10" s="1"/>
  <c r="W10" s="1"/>
  <c r="H10"/>
  <c r="T9"/>
  <c r="U9" s="1"/>
  <c r="X9" s="1"/>
  <c r="P9"/>
  <c r="N9"/>
  <c r="R9" s="1"/>
  <c r="M9"/>
  <c r="L9"/>
  <c r="O9" s="1"/>
  <c r="S9" s="1"/>
  <c r="W9" s="1"/>
  <c r="H9"/>
  <c r="Y9" s="1"/>
  <c r="P8"/>
  <c r="N8"/>
  <c r="R8" s="1"/>
  <c r="M8"/>
  <c r="L8"/>
  <c r="O8" s="1"/>
  <c r="S8" s="1"/>
  <c r="W8" s="1"/>
  <c r="H8"/>
  <c r="T7"/>
  <c r="U7" s="1"/>
  <c r="X7" s="1"/>
  <c r="P7"/>
  <c r="N7"/>
  <c r="R7" s="1"/>
  <c r="M7"/>
  <c r="L7"/>
  <c r="O7" s="1"/>
  <c r="S7" s="1"/>
  <c r="W7" s="1"/>
  <c r="H7"/>
  <c r="Y7" s="1"/>
  <c r="P6"/>
  <c r="N6"/>
  <c r="R6" s="1"/>
  <c r="M6"/>
  <c r="L6"/>
  <c r="O6" s="1"/>
  <c r="S6" s="1"/>
  <c r="W6" s="1"/>
  <c r="H6"/>
  <c r="P5"/>
  <c r="N5"/>
  <c r="R5" s="1"/>
  <c r="M5"/>
  <c r="L5"/>
  <c r="O5" s="1"/>
  <c r="H5"/>
  <c r="P4"/>
  <c r="N4"/>
  <c r="R4" s="1"/>
  <c r="M4"/>
  <c r="L4"/>
  <c r="O4" s="1"/>
  <c r="H4"/>
  <c r="P3"/>
  <c r="N3"/>
  <c r="R3" s="1"/>
  <c r="M3"/>
  <c r="L3"/>
  <c r="O3" s="1"/>
  <c r="H3"/>
  <c r="P2"/>
  <c r="N2"/>
  <c r="R2" s="1"/>
  <c r="M2"/>
  <c r="L2"/>
  <c r="O2" s="1"/>
  <c r="H2"/>
  <c r="S20" i="7" l="1"/>
  <c r="Q20"/>
  <c r="U20" s="1"/>
  <c r="AD4" s="1"/>
  <c r="AF20"/>
  <c r="O20"/>
  <c r="AG20"/>
  <c r="AJ20" s="1"/>
  <c r="V20"/>
  <c r="AB20" s="1"/>
  <c r="E10"/>
  <c r="S3" i="6"/>
  <c r="S5"/>
  <c r="S2"/>
  <c r="S4"/>
  <c r="Y2"/>
  <c r="Y3"/>
  <c r="Z6"/>
  <c r="Z8"/>
  <c r="Z10"/>
  <c r="Z12"/>
  <c r="Z14"/>
  <c r="Z16"/>
  <c r="Z18"/>
  <c r="Z20"/>
  <c r="Z22"/>
  <c r="Z24"/>
  <c r="T25"/>
  <c r="U25" s="1"/>
  <c r="X25" s="1"/>
  <c r="Z26"/>
  <c r="T27"/>
  <c r="U27" s="1"/>
  <c r="X27" s="1"/>
  <c r="Z28"/>
  <c r="T29"/>
  <c r="U29" s="1"/>
  <c r="X29" s="1"/>
  <c r="Z30"/>
  <c r="T31"/>
  <c r="U31" s="1"/>
  <c r="X31" s="1"/>
  <c r="Z32"/>
  <c r="T33"/>
  <c r="U33" s="1"/>
  <c r="X33" s="1"/>
  <c r="Z34"/>
  <c r="T35"/>
  <c r="U35" s="1"/>
  <c r="X35" s="1"/>
  <c r="Z36"/>
  <c r="T37"/>
  <c r="U37" s="1"/>
  <c r="X37" s="1"/>
  <c r="Z38"/>
  <c r="T39"/>
  <c r="U39" s="1"/>
  <c r="X39" s="1"/>
  <c r="Z40"/>
  <c r="AA40" s="1"/>
  <c r="AB40" s="1"/>
  <c r="Y41"/>
  <c r="S41"/>
  <c r="Q2"/>
  <c r="Q3"/>
  <c r="Q4"/>
  <c r="Y5"/>
  <c r="Q5"/>
  <c r="Y6"/>
  <c r="T6"/>
  <c r="U6" s="1"/>
  <c r="X6" s="1"/>
  <c r="Z7"/>
  <c r="AA7" s="1"/>
  <c r="AB7" s="1"/>
  <c r="Y8"/>
  <c r="T8"/>
  <c r="U8" s="1"/>
  <c r="X8" s="1"/>
  <c r="AA8" s="1"/>
  <c r="AB8" s="1"/>
  <c r="Z9"/>
  <c r="AA9" s="1"/>
  <c r="AB9" s="1"/>
  <c r="Y10"/>
  <c r="T10"/>
  <c r="U10" s="1"/>
  <c r="X10" s="1"/>
  <c r="Z11"/>
  <c r="AA11" s="1"/>
  <c r="AB11" s="1"/>
  <c r="Y12"/>
  <c r="T12"/>
  <c r="U12" s="1"/>
  <c r="X12" s="1"/>
  <c r="AA12" s="1"/>
  <c r="AB12" s="1"/>
  <c r="Z13"/>
  <c r="AA13" s="1"/>
  <c r="AB13" s="1"/>
  <c r="Y14"/>
  <c r="T14"/>
  <c r="U14" s="1"/>
  <c r="X14" s="1"/>
  <c r="Z15"/>
  <c r="AA15" s="1"/>
  <c r="AB15" s="1"/>
  <c r="Y16"/>
  <c r="T16"/>
  <c r="U16" s="1"/>
  <c r="X16" s="1"/>
  <c r="AA16" s="1"/>
  <c r="AB16" s="1"/>
  <c r="Z17"/>
  <c r="AA17" s="1"/>
  <c r="AB17" s="1"/>
  <c r="Y18"/>
  <c r="T18"/>
  <c r="U18" s="1"/>
  <c r="X18" s="1"/>
  <c r="Z19"/>
  <c r="AA19" s="1"/>
  <c r="AB19" s="1"/>
  <c r="Y20"/>
  <c r="T20"/>
  <c r="U20" s="1"/>
  <c r="X20" s="1"/>
  <c r="AA20" s="1"/>
  <c r="AB20" s="1"/>
  <c r="Z21"/>
  <c r="AA21" s="1"/>
  <c r="AB21" s="1"/>
  <c r="Y22"/>
  <c r="T22"/>
  <c r="U22" s="1"/>
  <c r="X22" s="1"/>
  <c r="Z23"/>
  <c r="AA23" s="1"/>
  <c r="AB23" s="1"/>
  <c r="Y24"/>
  <c r="T24"/>
  <c r="U24" s="1"/>
  <c r="X24" s="1"/>
  <c r="AA24" s="1"/>
  <c r="AB24" s="1"/>
  <c r="Z25"/>
  <c r="Y26"/>
  <c r="T26"/>
  <c r="U26" s="1"/>
  <c r="X26" s="1"/>
  <c r="Z27"/>
  <c r="Y28"/>
  <c r="T28"/>
  <c r="U28" s="1"/>
  <c r="X28" s="1"/>
  <c r="AA28" s="1"/>
  <c r="AB28" s="1"/>
  <c r="Z29"/>
  <c r="Y30"/>
  <c r="T30"/>
  <c r="U30" s="1"/>
  <c r="X30" s="1"/>
  <c r="Z31"/>
  <c r="Y32"/>
  <c r="T32"/>
  <c r="U32" s="1"/>
  <c r="X32" s="1"/>
  <c r="AA32" s="1"/>
  <c r="AB32" s="1"/>
  <c r="Z33"/>
  <c r="Y34"/>
  <c r="T34"/>
  <c r="U34" s="1"/>
  <c r="X34" s="1"/>
  <c r="Z35"/>
  <c r="Y36"/>
  <c r="T36"/>
  <c r="U36" s="1"/>
  <c r="X36" s="1"/>
  <c r="AA36" s="1"/>
  <c r="AB36" s="1"/>
  <c r="Z37"/>
  <c r="Y38"/>
  <c r="T38"/>
  <c r="U38" s="1"/>
  <c r="X38" s="1"/>
  <c r="Z39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N18" i="7" l="1"/>
  <c r="R20"/>
  <c r="T20" s="1"/>
  <c r="AD3" s="1"/>
  <c r="C18"/>
  <c r="D18" s="1"/>
  <c r="C20"/>
  <c r="D20" s="1"/>
  <c r="Z20" s="1"/>
  <c r="W20"/>
  <c r="W41" i="6"/>
  <c r="Z41" s="1"/>
  <c r="T41"/>
  <c r="U41" s="1"/>
  <c r="X41" s="1"/>
  <c r="W4"/>
  <c r="T4"/>
  <c r="U4" s="1"/>
  <c r="X4" s="1"/>
  <c r="W2"/>
  <c r="T2"/>
  <c r="U2" s="1"/>
  <c r="X2" s="1"/>
  <c r="W3"/>
  <c r="T3"/>
  <c r="U3" s="1"/>
  <c r="X3" s="1"/>
  <c r="AA38"/>
  <c r="AB38" s="1"/>
  <c r="AA34"/>
  <c r="AB34" s="1"/>
  <c r="AA30"/>
  <c r="AB30" s="1"/>
  <c r="AA26"/>
  <c r="AB26" s="1"/>
  <c r="AA22"/>
  <c r="AB22" s="1"/>
  <c r="AA18"/>
  <c r="AB18" s="1"/>
  <c r="AA14"/>
  <c r="AB14" s="1"/>
  <c r="AA10"/>
  <c r="AB10" s="1"/>
  <c r="AA6"/>
  <c r="AB6" s="1"/>
  <c r="W5"/>
  <c r="Z5" s="1"/>
  <c r="T5"/>
  <c r="U5" s="1"/>
  <c r="X5" s="1"/>
  <c r="AA39"/>
  <c r="AB39" s="1"/>
  <c r="AA37"/>
  <c r="AB37" s="1"/>
  <c r="AA35"/>
  <c r="AB35" s="1"/>
  <c r="AA33"/>
  <c r="AB33" s="1"/>
  <c r="AA31"/>
  <c r="AB31" s="1"/>
  <c r="AA29"/>
  <c r="AB29" s="1"/>
  <c r="AA27"/>
  <c r="AB27" s="1"/>
  <c r="AA25"/>
  <c r="AB25" s="1"/>
  <c r="Y4"/>
  <c r="Z4"/>
  <c r="Z3"/>
  <c r="Q18" i="7" l="1"/>
  <c r="O18"/>
  <c r="R18" s="1"/>
  <c r="T18" s="1"/>
  <c r="AD2" s="1"/>
  <c r="AE18"/>
  <c r="AF18" s="1"/>
  <c r="P18"/>
  <c r="S18" s="1"/>
  <c r="AK20"/>
  <c r="AM20"/>
  <c r="AH20"/>
  <c r="X20"/>
  <c r="AA41" i="6"/>
  <c r="AB41" s="1"/>
  <c r="AA5"/>
  <c r="AB5" s="1"/>
  <c r="AA3"/>
  <c r="AB3" s="1"/>
  <c r="AA2"/>
  <c r="AB2" s="1"/>
  <c r="AA4"/>
  <c r="AB4" s="1"/>
  <c r="V18" i="7" l="1"/>
  <c r="AB18" s="1"/>
  <c r="AG18"/>
  <c r="AJ18" s="1"/>
  <c r="AK18" s="1"/>
  <c r="U18"/>
  <c r="AD1" s="1"/>
  <c r="AI20"/>
  <c r="N41" i="4"/>
  <c r="R41" s="1"/>
  <c r="M41"/>
  <c r="P41" s="1"/>
  <c r="L41"/>
  <c r="O41" s="1"/>
  <c r="S41" s="1"/>
  <c r="J41"/>
  <c r="W41" s="1"/>
  <c r="N40"/>
  <c r="R40" s="1"/>
  <c r="M40"/>
  <c r="P40" s="1"/>
  <c r="L40"/>
  <c r="O40" s="1"/>
  <c r="S40" s="1"/>
  <c r="J40"/>
  <c r="W40" s="1"/>
  <c r="N39"/>
  <c r="R39" s="1"/>
  <c r="M39"/>
  <c r="P39" s="1"/>
  <c r="L39"/>
  <c r="O39" s="1"/>
  <c r="S39" s="1"/>
  <c r="J39"/>
  <c r="W39" s="1"/>
  <c r="N38"/>
  <c r="R38" s="1"/>
  <c r="M38"/>
  <c r="P38" s="1"/>
  <c r="L38"/>
  <c r="O38" s="1"/>
  <c r="S38" s="1"/>
  <c r="J38"/>
  <c r="N37"/>
  <c r="R37" s="1"/>
  <c r="M37"/>
  <c r="P37" s="1"/>
  <c r="L37"/>
  <c r="O37" s="1"/>
  <c r="S37" s="1"/>
  <c r="J37"/>
  <c r="N36"/>
  <c r="R36" s="1"/>
  <c r="M36"/>
  <c r="P36" s="1"/>
  <c r="L36"/>
  <c r="O36" s="1"/>
  <c r="S36" s="1"/>
  <c r="J36"/>
  <c r="N35"/>
  <c r="R35" s="1"/>
  <c r="M35"/>
  <c r="P35" s="1"/>
  <c r="L35"/>
  <c r="O35" s="1"/>
  <c r="S35" s="1"/>
  <c r="J35"/>
  <c r="N34"/>
  <c r="R34" s="1"/>
  <c r="M34"/>
  <c r="P34" s="1"/>
  <c r="L34"/>
  <c r="O34" s="1"/>
  <c r="S34" s="1"/>
  <c r="J34"/>
  <c r="N33"/>
  <c r="R33" s="1"/>
  <c r="M33"/>
  <c r="P33" s="1"/>
  <c r="L33"/>
  <c r="O33" s="1"/>
  <c r="S33" s="1"/>
  <c r="J33"/>
  <c r="N32"/>
  <c r="R32" s="1"/>
  <c r="M32"/>
  <c r="P32" s="1"/>
  <c r="L32"/>
  <c r="O32" s="1"/>
  <c r="S32" s="1"/>
  <c r="J32"/>
  <c r="N31"/>
  <c r="R31" s="1"/>
  <c r="M31"/>
  <c r="P31" s="1"/>
  <c r="L31"/>
  <c r="O31" s="1"/>
  <c r="S31" s="1"/>
  <c r="J31"/>
  <c r="N30"/>
  <c r="R30" s="1"/>
  <c r="M30"/>
  <c r="P30" s="1"/>
  <c r="L30"/>
  <c r="O30" s="1"/>
  <c r="S30" s="1"/>
  <c r="J30"/>
  <c r="N29"/>
  <c r="R29" s="1"/>
  <c r="M29"/>
  <c r="P29" s="1"/>
  <c r="L29"/>
  <c r="O29" s="1"/>
  <c r="S29" s="1"/>
  <c r="J29"/>
  <c r="N28"/>
  <c r="R28" s="1"/>
  <c r="M28"/>
  <c r="P28" s="1"/>
  <c r="L28"/>
  <c r="O28" s="1"/>
  <c r="S28" s="1"/>
  <c r="J28"/>
  <c r="N27"/>
  <c r="R27" s="1"/>
  <c r="M27"/>
  <c r="P27" s="1"/>
  <c r="L27"/>
  <c r="O27" s="1"/>
  <c r="S27" s="1"/>
  <c r="J27"/>
  <c r="N26"/>
  <c r="R26" s="1"/>
  <c r="M26"/>
  <c r="P26" s="1"/>
  <c r="L26"/>
  <c r="O26" s="1"/>
  <c r="S26" s="1"/>
  <c r="J26"/>
  <c r="N25"/>
  <c r="R25" s="1"/>
  <c r="M25"/>
  <c r="P25" s="1"/>
  <c r="L25"/>
  <c r="O25" s="1"/>
  <c r="S25" s="1"/>
  <c r="J25"/>
  <c r="N24"/>
  <c r="R24" s="1"/>
  <c r="M24"/>
  <c r="P24" s="1"/>
  <c r="L24"/>
  <c r="O24" s="1"/>
  <c r="S24" s="1"/>
  <c r="J24"/>
  <c r="N23"/>
  <c r="R23" s="1"/>
  <c r="M23"/>
  <c r="P23" s="1"/>
  <c r="L23"/>
  <c r="O23" s="1"/>
  <c r="S23" s="1"/>
  <c r="J23"/>
  <c r="N22"/>
  <c r="R22" s="1"/>
  <c r="M22"/>
  <c r="P22" s="1"/>
  <c r="L22"/>
  <c r="O22" s="1"/>
  <c r="S22" s="1"/>
  <c r="J22"/>
  <c r="N21"/>
  <c r="R21" s="1"/>
  <c r="M21"/>
  <c r="P21" s="1"/>
  <c r="L21"/>
  <c r="O21" s="1"/>
  <c r="S21" s="1"/>
  <c r="J21"/>
  <c r="N20"/>
  <c r="R20" s="1"/>
  <c r="M20"/>
  <c r="P20" s="1"/>
  <c r="L20"/>
  <c r="O20" s="1"/>
  <c r="S20" s="1"/>
  <c r="J20"/>
  <c r="N19"/>
  <c r="R19" s="1"/>
  <c r="M19"/>
  <c r="P19" s="1"/>
  <c r="L19"/>
  <c r="O19" s="1"/>
  <c r="S19" s="1"/>
  <c r="J19"/>
  <c r="N18"/>
  <c r="R18" s="1"/>
  <c r="M18"/>
  <c r="P18" s="1"/>
  <c r="L18"/>
  <c r="O18" s="1"/>
  <c r="S18" s="1"/>
  <c r="J18"/>
  <c r="N17"/>
  <c r="R17" s="1"/>
  <c r="M17"/>
  <c r="P17" s="1"/>
  <c r="L17"/>
  <c r="O17" s="1"/>
  <c r="S17" s="1"/>
  <c r="J17"/>
  <c r="N16"/>
  <c r="R16" s="1"/>
  <c r="M16"/>
  <c r="P16" s="1"/>
  <c r="L16"/>
  <c r="O16" s="1"/>
  <c r="S16" s="1"/>
  <c r="J16"/>
  <c r="N15"/>
  <c r="R15" s="1"/>
  <c r="M15"/>
  <c r="P15" s="1"/>
  <c r="L15"/>
  <c r="O15" s="1"/>
  <c r="S15" s="1"/>
  <c r="J15"/>
  <c r="N14"/>
  <c r="R14" s="1"/>
  <c r="M14"/>
  <c r="P14" s="1"/>
  <c r="L14"/>
  <c r="O14" s="1"/>
  <c r="S14" s="1"/>
  <c r="J14"/>
  <c r="N13"/>
  <c r="R13" s="1"/>
  <c r="M13"/>
  <c r="P13" s="1"/>
  <c r="L13"/>
  <c r="O13" s="1"/>
  <c r="S13" s="1"/>
  <c r="J13"/>
  <c r="N12"/>
  <c r="R12" s="1"/>
  <c r="M12"/>
  <c r="P12" s="1"/>
  <c r="L12"/>
  <c r="O12" s="1"/>
  <c r="S12" s="1"/>
  <c r="J12"/>
  <c r="N11"/>
  <c r="R11" s="1"/>
  <c r="M11"/>
  <c r="P11" s="1"/>
  <c r="L11"/>
  <c r="O11" s="1"/>
  <c r="S11" s="1"/>
  <c r="J11"/>
  <c r="N10"/>
  <c r="R10" s="1"/>
  <c r="M10"/>
  <c r="P10" s="1"/>
  <c r="L10"/>
  <c r="O10" s="1"/>
  <c r="S10" s="1"/>
  <c r="J10"/>
  <c r="N9"/>
  <c r="R9" s="1"/>
  <c r="M9"/>
  <c r="P9" s="1"/>
  <c r="L9"/>
  <c r="O9" s="1"/>
  <c r="S9" s="1"/>
  <c r="J9"/>
  <c r="N8"/>
  <c r="R8" s="1"/>
  <c r="M8"/>
  <c r="P8" s="1"/>
  <c r="L8"/>
  <c r="O8" s="1"/>
  <c r="S8" s="1"/>
  <c r="J8"/>
  <c r="N7"/>
  <c r="R7" s="1"/>
  <c r="M7"/>
  <c r="P7" s="1"/>
  <c r="L7"/>
  <c r="O7" s="1"/>
  <c r="S7" s="1"/>
  <c r="J7"/>
  <c r="N6"/>
  <c r="R6" s="1"/>
  <c r="M6"/>
  <c r="P6" s="1"/>
  <c r="L6"/>
  <c r="O6" s="1"/>
  <c r="S6" s="1"/>
  <c r="J6"/>
  <c r="N5"/>
  <c r="R5" s="1"/>
  <c r="M5"/>
  <c r="P5" s="1"/>
  <c r="L5"/>
  <c r="O5" s="1"/>
  <c r="S5" s="1"/>
  <c r="J5"/>
  <c r="N4"/>
  <c r="R4" s="1"/>
  <c r="M4"/>
  <c r="P4" s="1"/>
  <c r="L4"/>
  <c r="O4" s="1"/>
  <c r="S4" s="1"/>
  <c r="J4"/>
  <c r="N3"/>
  <c r="R3" s="1"/>
  <c r="M3"/>
  <c r="P3" s="1"/>
  <c r="L3"/>
  <c r="O3" s="1"/>
  <c r="S3" s="1"/>
  <c r="J3"/>
  <c r="N2"/>
  <c r="R2" s="1"/>
  <c r="M2"/>
  <c r="P2" s="1"/>
  <c r="L2"/>
  <c r="O2" s="1"/>
  <c r="AC10" i="3"/>
  <c r="B10"/>
  <c r="D10" s="1"/>
  <c r="B16" s="1"/>
  <c r="L16"/>
  <c r="K16"/>
  <c r="J16"/>
  <c r="I16"/>
  <c r="H16"/>
  <c r="G16"/>
  <c r="O16"/>
  <c r="R16" s="1"/>
  <c r="C16"/>
  <c r="W13" i="2"/>
  <c r="V13"/>
  <c r="R13"/>
  <c r="S13"/>
  <c r="O26"/>
  <c r="P13"/>
  <c r="E13"/>
  <c r="G13"/>
  <c r="F13"/>
  <c r="L13"/>
  <c r="K13"/>
  <c r="J13"/>
  <c r="I13"/>
  <c r="H13"/>
  <c r="C13"/>
  <c r="W18" i="7" l="1"/>
  <c r="AH18" s="1"/>
  <c r="AM18"/>
  <c r="Z18"/>
  <c r="X18"/>
  <c r="AI18" s="1"/>
  <c r="Q16" i="3"/>
  <c r="S16" s="1"/>
  <c r="W31" i="4"/>
  <c r="W3"/>
  <c r="W11"/>
  <c r="W19"/>
  <c r="W27"/>
  <c r="W35"/>
  <c r="W7"/>
  <c r="W15"/>
  <c r="W23"/>
  <c r="W5"/>
  <c r="W9"/>
  <c r="W13"/>
  <c r="W17"/>
  <c r="W21"/>
  <c r="W25"/>
  <c r="W29"/>
  <c r="W33"/>
  <c r="W37"/>
  <c r="S2"/>
  <c r="W2" s="1"/>
  <c r="W4"/>
  <c r="W6"/>
  <c r="W8"/>
  <c r="W10"/>
  <c r="W12"/>
  <c r="W14"/>
  <c r="W16"/>
  <c r="W18"/>
  <c r="W20"/>
  <c r="W22"/>
  <c r="W24"/>
  <c r="W26"/>
  <c r="W28"/>
  <c r="W30"/>
  <c r="W32"/>
  <c r="W34"/>
  <c r="W36"/>
  <c r="W38"/>
  <c r="Y2"/>
  <c r="Y4"/>
  <c r="T4"/>
  <c r="U4" s="1"/>
  <c r="Y6"/>
  <c r="T6"/>
  <c r="U6" s="1"/>
  <c r="Y8"/>
  <c r="T8"/>
  <c r="U8" s="1"/>
  <c r="Y10"/>
  <c r="T10"/>
  <c r="U10" s="1"/>
  <c r="Y12"/>
  <c r="T12"/>
  <c r="U12" s="1"/>
  <c r="Y14"/>
  <c r="T14"/>
  <c r="U14" s="1"/>
  <c r="Y16"/>
  <c r="T16"/>
  <c r="U16" s="1"/>
  <c r="Y18"/>
  <c r="T18"/>
  <c r="U18" s="1"/>
  <c r="Y20"/>
  <c r="T20"/>
  <c r="U20" s="1"/>
  <c r="Y22"/>
  <c r="T22"/>
  <c r="U22" s="1"/>
  <c r="Y24"/>
  <c r="T24"/>
  <c r="U24" s="1"/>
  <c r="Y26"/>
  <c r="T26"/>
  <c r="U26" s="1"/>
  <c r="Y28"/>
  <c r="T28"/>
  <c r="U28" s="1"/>
  <c r="Y30"/>
  <c r="T30"/>
  <c r="U30" s="1"/>
  <c r="Y32"/>
  <c r="T32"/>
  <c r="U32" s="1"/>
  <c r="Y34"/>
  <c r="T34"/>
  <c r="U34" s="1"/>
  <c r="Y36"/>
  <c r="T36"/>
  <c r="U36" s="1"/>
  <c r="Y38"/>
  <c r="T38"/>
  <c r="U38" s="1"/>
  <c r="Y39"/>
  <c r="T39"/>
  <c r="U39" s="1"/>
  <c r="Y40"/>
  <c r="T40"/>
  <c r="U40" s="1"/>
  <c r="Y41"/>
  <c r="T41"/>
  <c r="U41" s="1"/>
  <c r="Y3"/>
  <c r="T3"/>
  <c r="U3" s="1"/>
  <c r="Y5"/>
  <c r="T5"/>
  <c r="U5" s="1"/>
  <c r="Y7"/>
  <c r="T7"/>
  <c r="U7" s="1"/>
  <c r="Y9"/>
  <c r="T9"/>
  <c r="U9" s="1"/>
  <c r="Y11"/>
  <c r="T11"/>
  <c r="U11" s="1"/>
  <c r="Y13"/>
  <c r="T13"/>
  <c r="U13" s="1"/>
  <c r="Y15"/>
  <c r="T15"/>
  <c r="U15" s="1"/>
  <c r="Y17"/>
  <c r="T17"/>
  <c r="U17" s="1"/>
  <c r="Y19"/>
  <c r="T19"/>
  <c r="U19" s="1"/>
  <c r="Y21"/>
  <c r="T21"/>
  <c r="U21" s="1"/>
  <c r="Y23"/>
  <c r="T23"/>
  <c r="U23" s="1"/>
  <c r="Y25"/>
  <c r="T25"/>
  <c r="U25" s="1"/>
  <c r="Y27"/>
  <c r="T27"/>
  <c r="U27" s="1"/>
  <c r="Y29"/>
  <c r="T29"/>
  <c r="U29" s="1"/>
  <c r="Y31"/>
  <c r="T31"/>
  <c r="U31" s="1"/>
  <c r="Y33"/>
  <c r="T33"/>
  <c r="U33" s="1"/>
  <c r="Y35"/>
  <c r="T35"/>
  <c r="U35" s="1"/>
  <c r="Y37"/>
  <c r="T37"/>
  <c r="U37" s="1"/>
  <c r="Q2"/>
  <c r="Q3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U16" i="3"/>
  <c r="AA16" s="1"/>
  <c r="P16"/>
  <c r="T16" s="1"/>
  <c r="AC7"/>
  <c r="V16" l="1"/>
  <c r="W16" s="1"/>
  <c r="AC6"/>
  <c r="T2" i="4"/>
  <c r="U2" s="1"/>
  <c r="V35"/>
  <c r="X35" s="1"/>
  <c r="Z35" s="1"/>
  <c r="V31"/>
  <c r="X31" s="1"/>
  <c r="Z31" s="1"/>
  <c r="V27"/>
  <c r="X27" s="1"/>
  <c r="Z27" s="1"/>
  <c r="V23"/>
  <c r="X23" s="1"/>
  <c r="Z23" s="1"/>
  <c r="V17"/>
  <c r="X17" s="1"/>
  <c r="Z17" s="1"/>
  <c r="V37"/>
  <c r="X37" s="1"/>
  <c r="Z37" s="1"/>
  <c r="V33"/>
  <c r="X33" s="1"/>
  <c r="Z33" s="1"/>
  <c r="V29"/>
  <c r="X29" s="1"/>
  <c r="Z29" s="1"/>
  <c r="V25"/>
  <c r="X25" s="1"/>
  <c r="Z25" s="1"/>
  <c r="V21"/>
  <c r="X21" s="1"/>
  <c r="Z21" s="1"/>
  <c r="V19"/>
  <c r="X19" s="1"/>
  <c r="Z19" s="1"/>
  <c r="V15"/>
  <c r="X15" s="1"/>
  <c r="Z15" s="1"/>
  <c r="V13"/>
  <c r="X13" s="1"/>
  <c r="Z13" s="1"/>
  <c r="V11"/>
  <c r="X11" s="1"/>
  <c r="Z11" s="1"/>
  <c r="V9"/>
  <c r="X9" s="1"/>
  <c r="Z9" s="1"/>
  <c r="V7"/>
  <c r="X7" s="1"/>
  <c r="Z7" s="1"/>
  <c r="V5"/>
  <c r="X5" s="1"/>
  <c r="Z5" s="1"/>
  <c r="V3"/>
  <c r="X3" s="1"/>
  <c r="Z3" s="1"/>
  <c r="V41"/>
  <c r="X41" s="1"/>
  <c r="Z41" s="1"/>
  <c r="V40"/>
  <c r="X40" s="1"/>
  <c r="Z40" s="1"/>
  <c r="V39"/>
  <c r="X39" s="1"/>
  <c r="Z39" s="1"/>
  <c r="V38"/>
  <c r="X38" s="1"/>
  <c r="Z38" s="1"/>
  <c r="V36"/>
  <c r="X36" s="1"/>
  <c r="Z36" s="1"/>
  <c r="V34"/>
  <c r="X34" s="1"/>
  <c r="Z34" s="1"/>
  <c r="V32"/>
  <c r="X32" s="1"/>
  <c r="Z32" s="1"/>
  <c r="V30"/>
  <c r="X30" s="1"/>
  <c r="Z30" s="1"/>
  <c r="V28"/>
  <c r="X28" s="1"/>
  <c r="Z28" s="1"/>
  <c r="V26"/>
  <c r="X26" s="1"/>
  <c r="Z26" s="1"/>
  <c r="V24"/>
  <c r="X24" s="1"/>
  <c r="Z24" s="1"/>
  <c r="V22"/>
  <c r="X22" s="1"/>
  <c r="Z22" s="1"/>
  <c r="V20"/>
  <c r="X20" s="1"/>
  <c r="Z20" s="1"/>
  <c r="V18"/>
  <c r="X18" s="1"/>
  <c r="Z18" s="1"/>
  <c r="V16"/>
  <c r="X16" s="1"/>
  <c r="Z16" s="1"/>
  <c r="V14"/>
  <c r="X14" s="1"/>
  <c r="Z14" s="1"/>
  <c r="V12"/>
  <c r="X12" s="1"/>
  <c r="Z12" s="1"/>
  <c r="V10"/>
  <c r="X10" s="1"/>
  <c r="Z10" s="1"/>
  <c r="V8"/>
  <c r="X8" s="1"/>
  <c r="Z8" s="1"/>
  <c r="V6"/>
  <c r="X6" s="1"/>
  <c r="Z6" s="1"/>
  <c r="V4"/>
  <c r="X4" s="1"/>
  <c r="Z4" s="1"/>
  <c r="V2"/>
  <c r="X2" s="1"/>
  <c r="Z2" s="1"/>
  <c r="Y16" i="3"/>
  <c r="AG16"/>
  <c r="AH16" l="1"/>
  <c r="X16"/>
  <c r="Z16" l="1"/>
  <c r="AB16" s="1"/>
  <c r="O13" i="2" l="1"/>
  <c r="Q13" l="1"/>
  <c r="T13" l="1"/>
  <c r="U13" s="1"/>
  <c r="X13" s="1"/>
  <c r="Y13" s="1"/>
  <c r="Z13" s="1"/>
  <c r="AE16" i="3"/>
  <c r="AF16" l="1"/>
  <c r="AK16" s="1"/>
  <c r="AL16" l="1"/>
  <c r="AI16"/>
  <c r="AJ16" s="1"/>
  <c r="AM16" s="1"/>
  <c r="AN16" s="1"/>
  <c r="AO16" s="1"/>
  <c r="C12" i="7"/>
  <c r="G18"/>
  <c r="Y18" s="1"/>
  <c r="AA18" s="1"/>
  <c r="AC18" s="1"/>
  <c r="G20"/>
  <c r="Y20" s="1"/>
  <c r="AA20" s="1"/>
  <c r="AC20" s="1"/>
  <c r="AL20" l="1"/>
  <c r="AL18"/>
  <c r="AN20"/>
  <c r="AO20" s="1"/>
  <c r="AP20" s="1"/>
  <c r="AN18"/>
  <c r="AO18" s="1"/>
  <c r="AP18" s="1"/>
</calcChain>
</file>

<file path=xl/sharedStrings.xml><?xml version="1.0" encoding="utf-8"?>
<sst xmlns="http://schemas.openxmlformats.org/spreadsheetml/2006/main" count="229" uniqueCount="106">
  <si>
    <t>ma</t>
  </si>
  <si>
    <t>ms</t>
  </si>
  <si>
    <t>m</t>
  </si>
  <si>
    <t>D</t>
  </si>
  <si>
    <t>Lh</t>
  </si>
  <si>
    <t>Lv</t>
  </si>
  <si>
    <t>N</t>
  </si>
  <si>
    <t>B</t>
  </si>
  <si>
    <t>Co</t>
  </si>
  <si>
    <t>Ci</t>
  </si>
  <si>
    <t>Re</t>
  </si>
  <si>
    <t>Cavg</t>
  </si>
  <si>
    <t>Fr</t>
  </si>
  <si>
    <t>is</t>
  </si>
  <si>
    <t>if</t>
  </si>
  <si>
    <t xml:space="preserve">  λf</t>
  </si>
  <si>
    <r>
      <t xml:space="preserve">  </t>
    </r>
    <r>
      <rPr>
        <b/>
        <sz val="11"/>
        <color indexed="18"/>
        <rFont val="Calibri"/>
        <family val="2"/>
      </rPr>
      <t>λs</t>
    </r>
  </si>
  <si>
    <t>λs*m*^.5</t>
  </si>
  <si>
    <t>ε</t>
  </si>
  <si>
    <t>Pavg</t>
  </si>
  <si>
    <t>Pair</t>
  </si>
  <si>
    <t>Pbends</t>
  </si>
  <si>
    <t>Pfrictior</t>
  </si>
  <si>
    <t>Ptotal</t>
  </si>
  <si>
    <t>T</t>
  </si>
  <si>
    <t>ρo</t>
  </si>
  <si>
    <t>ρi</t>
  </si>
  <si>
    <t>ρavg</t>
  </si>
  <si>
    <t>∆P</t>
  </si>
  <si>
    <t>Po</t>
  </si>
  <si>
    <t>P avg</t>
  </si>
  <si>
    <t>R</t>
  </si>
  <si>
    <t>Pi</t>
  </si>
  <si>
    <t>P air</t>
  </si>
  <si>
    <t>P bends</t>
  </si>
  <si>
    <r>
      <rPr>
        <sz val="11"/>
        <color indexed="8"/>
        <rFont val="Calibri"/>
        <family val="2"/>
      </rPr>
      <t>ρ</t>
    </r>
    <r>
      <rPr>
        <sz val="11"/>
        <color theme="1"/>
        <rFont val="Calibri"/>
        <family val="2"/>
        <scheme val="minor"/>
      </rPr>
      <t>avg</t>
    </r>
  </si>
  <si>
    <t>P-guess</t>
  </si>
  <si>
    <t xml:space="preserve">  λs</t>
  </si>
  <si>
    <t>P/P</t>
  </si>
  <si>
    <t>kg/s</t>
  </si>
  <si>
    <t>eps</t>
  </si>
  <si>
    <t>ma</t>
    <phoneticPr fontId="1" type="noConversion"/>
  </si>
  <si>
    <t>ms</t>
    <phoneticPr fontId="1" type="noConversion"/>
  </si>
  <si>
    <t>m*</t>
    <phoneticPr fontId="1" type="noConversion"/>
  </si>
  <si>
    <t>Po</t>
    <phoneticPr fontId="1" type="noConversion"/>
  </si>
  <si>
    <t>Pavg</t>
    <phoneticPr fontId="1" type="noConversion"/>
  </si>
  <si>
    <t>Ci</t>
    <phoneticPr fontId="1" type="noConversion"/>
  </si>
  <si>
    <t>Ct</t>
    <phoneticPr fontId="1" type="noConversion"/>
  </si>
  <si>
    <t>Co</t>
    <phoneticPr fontId="1" type="noConversion"/>
  </si>
  <si>
    <t>Cavg</t>
    <phoneticPr fontId="1" type="noConversion"/>
  </si>
  <si>
    <t>Re</t>
    <phoneticPr fontId="1" type="noConversion"/>
  </si>
  <si>
    <t>Fr</t>
    <phoneticPr fontId="1" type="noConversion"/>
  </si>
  <si>
    <t>P-bends</t>
  </si>
  <si>
    <t>P-air</t>
  </si>
  <si>
    <t>λf</t>
  </si>
  <si>
    <t>λs</t>
  </si>
  <si>
    <t>Δp</t>
  </si>
  <si>
    <t>Is-m*^0.5</t>
  </si>
  <si>
    <t>test</t>
    <phoneticPr fontId="1" type="noConversion"/>
  </si>
  <si>
    <t>N</t>
    <phoneticPr fontId="1" type="noConversion"/>
  </si>
  <si>
    <t>D</t>
    <phoneticPr fontId="1" type="noConversion"/>
  </si>
  <si>
    <t>Lh</t>
    <phoneticPr fontId="1" type="noConversion"/>
  </si>
  <si>
    <t>ma</t>
    <phoneticPr fontId="1" type="noConversion"/>
  </si>
  <si>
    <t>ms</t>
    <phoneticPr fontId="1" type="noConversion"/>
  </si>
  <si>
    <t>m*</t>
    <phoneticPr fontId="1" type="noConversion"/>
  </si>
  <si>
    <t>Po</t>
    <phoneticPr fontId="1" type="noConversion"/>
  </si>
  <si>
    <t>Pavg</t>
    <phoneticPr fontId="1" type="noConversion"/>
  </si>
  <si>
    <t>Rho-i</t>
    <phoneticPr fontId="1" type="noConversion"/>
  </si>
  <si>
    <t>Rho-o</t>
    <phoneticPr fontId="1" type="noConversion"/>
  </si>
  <si>
    <t>Ci</t>
    <phoneticPr fontId="1" type="noConversion"/>
  </si>
  <si>
    <t>Ct</t>
    <phoneticPr fontId="1" type="noConversion"/>
  </si>
  <si>
    <t>Co</t>
    <phoneticPr fontId="1" type="noConversion"/>
  </si>
  <si>
    <t>Cavg</t>
    <phoneticPr fontId="1" type="noConversion"/>
  </si>
  <si>
    <t>Re</t>
    <phoneticPr fontId="1" type="noConversion"/>
  </si>
  <si>
    <t>Fr</t>
    <phoneticPr fontId="1" type="noConversion"/>
  </si>
  <si>
    <t>P-total</t>
  </si>
  <si>
    <t>P-friction</t>
  </si>
  <si>
    <t>Δp/P-total</t>
  </si>
  <si>
    <t>```</t>
  </si>
  <si>
    <r>
      <rPr>
        <b/>
        <sz val="11"/>
        <color indexed="8"/>
        <rFont val="Calibri"/>
        <family val="2"/>
      </rPr>
      <t>ρ</t>
    </r>
    <r>
      <rPr>
        <b/>
        <sz val="11"/>
        <color theme="1"/>
        <rFont val="Calibri"/>
        <family val="2"/>
        <scheme val="minor"/>
      </rPr>
      <t>avg</t>
    </r>
  </si>
  <si>
    <t>Pguss/Ptotal</t>
  </si>
  <si>
    <t>Ci =</t>
  </si>
  <si>
    <t>ton/h     =</t>
  </si>
  <si>
    <t>Dilute phase</t>
  </si>
  <si>
    <t>Co =</t>
  </si>
  <si>
    <t>in</t>
  </si>
  <si>
    <t>L1</t>
  </si>
  <si>
    <t>L2</t>
  </si>
  <si>
    <t>D2</t>
  </si>
  <si>
    <t>Pipe 1</t>
  </si>
  <si>
    <t>Pipe 2</t>
  </si>
  <si>
    <t>P1o</t>
  </si>
  <si>
    <t>P1i</t>
  </si>
  <si>
    <t>P2i</t>
  </si>
  <si>
    <t>P2o</t>
  </si>
  <si>
    <t>p1i</t>
  </si>
  <si>
    <t>p1o</t>
  </si>
  <si>
    <t>p2i</t>
  </si>
  <si>
    <t>p2o</t>
  </si>
  <si>
    <t>C1i</t>
  </si>
  <si>
    <t>C1o</t>
  </si>
  <si>
    <t>C2i</t>
  </si>
  <si>
    <t>C2o</t>
  </si>
  <si>
    <t>Dense Phase</t>
  </si>
  <si>
    <t>kg/(s^2*m)</t>
  </si>
  <si>
    <t>m*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</si>
</sst>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b/>
      <sz val="11"/>
      <color indexed="18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3"/>
      <charset val="134"/>
      <scheme val="minor"/>
    </font>
    <font>
      <sz val="12"/>
      <color theme="1"/>
      <name val="Calibri"/>
      <family val="2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92D05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1" fontId="2" fillId="3" borderId="0" xfId="0" applyNumberFormat="1" applyFont="1" applyFill="1" applyAlignment="1">
      <alignment horizontal="center"/>
    </xf>
    <xf numFmtId="1" fontId="0" fillId="0" borderId="0" xfId="0" applyNumberFormat="1"/>
    <xf numFmtId="1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2" fillId="5" borderId="0" xfId="0" applyFont="1" applyFill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5" fillId="5" borderId="0" xfId="0" applyFont="1" applyFill="1" applyAlignment="1">
      <alignment horizontal="center"/>
    </xf>
    <xf numFmtId="1" fontId="2" fillId="5" borderId="0" xfId="0" applyNumberFormat="1" applyFont="1" applyFill="1" applyAlignment="1">
      <alignment horizontal="center"/>
    </xf>
    <xf numFmtId="0" fontId="2" fillId="5" borderId="0" xfId="0" applyFont="1" applyFill="1" applyAlignment="1">
      <alignment horizontal="center" vertical="center"/>
    </xf>
    <xf numFmtId="0" fontId="8" fillId="5" borderId="0" xfId="0" applyFont="1" applyFill="1"/>
    <xf numFmtId="0" fontId="8" fillId="5" borderId="0" xfId="0" applyFont="1" applyFill="1" applyAlignment="1">
      <alignment horizontal="center"/>
    </xf>
    <xf numFmtId="0" fontId="11" fillId="5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0" fillId="0" borderId="0" xfId="0" applyAlignment="1">
      <alignment horizontal="left"/>
    </xf>
    <xf numFmtId="0" fontId="1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6" borderId="0" xfId="0" applyFill="1"/>
    <xf numFmtId="0" fontId="0" fillId="4" borderId="0" xfId="0" applyFill="1"/>
    <xf numFmtId="0" fontId="0" fillId="4" borderId="0" xfId="0" applyFill="1" applyAlignment="1">
      <alignment horizontal="center"/>
    </xf>
    <xf numFmtId="1" fontId="0" fillId="4" borderId="0" xfId="0" applyNumberForma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3" fillId="0" borderId="2" xfId="0" applyFont="1" applyBorder="1" applyAlignment="1">
      <alignment horizontal="center"/>
    </xf>
    <xf numFmtId="0" fontId="13" fillId="5" borderId="1" xfId="0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/>
    </xf>
    <xf numFmtId="0" fontId="8" fillId="5" borderId="1" xfId="0" applyFont="1" applyFill="1" applyBorder="1"/>
    <xf numFmtId="1" fontId="2" fillId="5" borderId="1" xfId="0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0" fillId="7" borderId="1" xfId="0" applyFill="1" applyBorder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Border="1"/>
    <xf numFmtId="0" fontId="3" fillId="4" borderId="3" xfId="0" applyFont="1" applyFill="1" applyBorder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dLbls>
            <c:showVal val="1"/>
          </c:dLbls>
          <c:xVal>
            <c:numRef>
              <c:f>inputdata!$G$2:$G$41</c:f>
              <c:numCache>
                <c:formatCode>General</c:formatCode>
                <c:ptCount val="40"/>
                <c:pt idx="0">
                  <c:v>8.2900000000000001E-2</c:v>
                </c:pt>
                <c:pt idx="1">
                  <c:v>7.4499999999999997E-2</c:v>
                </c:pt>
                <c:pt idx="2">
                  <c:v>8.2600000000000007E-2</c:v>
                </c:pt>
                <c:pt idx="3">
                  <c:v>6.6100000000000006E-2</c:v>
                </c:pt>
                <c:pt idx="4">
                  <c:v>0.05</c:v>
                </c:pt>
                <c:pt idx="5">
                  <c:v>5.8099999999999999E-2</c:v>
                </c:pt>
                <c:pt idx="6">
                  <c:v>4.6399999999999997E-2</c:v>
                </c:pt>
                <c:pt idx="7">
                  <c:v>3.5000000000000003E-2</c:v>
                </c:pt>
                <c:pt idx="8">
                  <c:v>4.7800000000000002E-2</c:v>
                </c:pt>
                <c:pt idx="9">
                  <c:v>3.8199999999999998E-2</c:v>
                </c:pt>
                <c:pt idx="10">
                  <c:v>2.8500000000000001E-2</c:v>
                </c:pt>
                <c:pt idx="11">
                  <c:v>9.2899999999999996E-2</c:v>
                </c:pt>
                <c:pt idx="12">
                  <c:v>7.4300000000000005E-2</c:v>
                </c:pt>
                <c:pt idx="13">
                  <c:v>5.6000000000000001E-2</c:v>
                </c:pt>
                <c:pt idx="14">
                  <c:v>0.11700000000000001</c:v>
                </c:pt>
                <c:pt idx="15">
                  <c:v>8.5800000000000001E-2</c:v>
                </c:pt>
                <c:pt idx="16">
                  <c:v>8.2199999999999995E-2</c:v>
                </c:pt>
                <c:pt idx="17">
                  <c:v>6.4699999999999994E-2</c:v>
                </c:pt>
                <c:pt idx="18">
                  <c:v>4.9500000000000002E-2</c:v>
                </c:pt>
                <c:pt idx="19">
                  <c:v>8.2600000000000007E-2</c:v>
                </c:pt>
                <c:pt idx="20">
                  <c:v>6.6100000000000006E-2</c:v>
                </c:pt>
                <c:pt idx="21">
                  <c:v>8.2900000000000001E-2</c:v>
                </c:pt>
                <c:pt idx="22">
                  <c:v>6.0900000000000003E-2</c:v>
                </c:pt>
                <c:pt idx="23">
                  <c:v>3.6200000000000003E-2</c:v>
                </c:pt>
                <c:pt idx="24">
                  <c:v>2.8899999999999999E-2</c:v>
                </c:pt>
                <c:pt idx="25">
                  <c:v>1.7999999999999999E-2</c:v>
                </c:pt>
                <c:pt idx="26">
                  <c:v>4.65E-2</c:v>
                </c:pt>
                <c:pt idx="27">
                  <c:v>3.7100000000000001E-2</c:v>
                </c:pt>
                <c:pt idx="28">
                  <c:v>2.1100000000000001E-2</c:v>
                </c:pt>
                <c:pt idx="29">
                  <c:v>1.9599999999999999E-2</c:v>
                </c:pt>
                <c:pt idx="30">
                  <c:v>1.2500000000000001E-2</c:v>
                </c:pt>
                <c:pt idx="31">
                  <c:v>3.6200000000000003E-2</c:v>
                </c:pt>
                <c:pt idx="32">
                  <c:v>2.1999999999999999E-2</c:v>
                </c:pt>
                <c:pt idx="33">
                  <c:v>6.0299999999999999E-2</c:v>
                </c:pt>
                <c:pt idx="34">
                  <c:v>2.87E-2</c:v>
                </c:pt>
                <c:pt idx="35">
                  <c:v>0.05</c:v>
                </c:pt>
                <c:pt idx="36">
                  <c:v>8.2900000000000001E-2</c:v>
                </c:pt>
                <c:pt idx="37">
                  <c:v>7.6799999999999993E-2</c:v>
                </c:pt>
                <c:pt idx="38">
                  <c:v>0.1048</c:v>
                </c:pt>
                <c:pt idx="39">
                  <c:v>1.23E-2</c:v>
                </c:pt>
              </c:numCache>
            </c:numRef>
          </c:xVal>
          <c:yVal>
            <c:numRef>
              <c:f>inputdata!$H$2:$H$41</c:f>
              <c:numCache>
                <c:formatCode>General</c:formatCode>
                <c:ptCount val="40"/>
                <c:pt idx="0">
                  <c:v>1.28</c:v>
                </c:pt>
                <c:pt idx="1">
                  <c:v>1.18</c:v>
                </c:pt>
                <c:pt idx="2">
                  <c:v>2.0499999999999998</c:v>
                </c:pt>
                <c:pt idx="3">
                  <c:v>1.8939999999999999</c:v>
                </c:pt>
                <c:pt idx="4">
                  <c:v>1.59</c:v>
                </c:pt>
                <c:pt idx="5">
                  <c:v>2.36</c:v>
                </c:pt>
                <c:pt idx="6">
                  <c:v>2.0489999999999999</c:v>
                </c:pt>
                <c:pt idx="7">
                  <c:v>1.5880000000000001</c:v>
                </c:pt>
                <c:pt idx="8">
                  <c:v>2.39</c:v>
                </c:pt>
                <c:pt idx="9">
                  <c:v>2.177</c:v>
                </c:pt>
                <c:pt idx="10">
                  <c:v>1.6220000000000001</c:v>
                </c:pt>
                <c:pt idx="11">
                  <c:v>2.56</c:v>
                </c:pt>
                <c:pt idx="12">
                  <c:v>2.4300000000000002</c:v>
                </c:pt>
                <c:pt idx="13">
                  <c:v>1.95</c:v>
                </c:pt>
                <c:pt idx="14">
                  <c:v>3.59</c:v>
                </c:pt>
                <c:pt idx="15">
                  <c:v>3.3290000000000002</c:v>
                </c:pt>
                <c:pt idx="16">
                  <c:v>3.073</c:v>
                </c:pt>
                <c:pt idx="17">
                  <c:v>3.073</c:v>
                </c:pt>
                <c:pt idx="18">
                  <c:v>2.62</c:v>
                </c:pt>
                <c:pt idx="19">
                  <c:v>3.8410000000000002</c:v>
                </c:pt>
                <c:pt idx="20">
                  <c:v>3.585</c:v>
                </c:pt>
                <c:pt idx="21">
                  <c:v>4.609</c:v>
                </c:pt>
                <c:pt idx="22">
                  <c:v>4.3529999999999998</c:v>
                </c:pt>
                <c:pt idx="23">
                  <c:v>2.4300000000000002</c:v>
                </c:pt>
                <c:pt idx="24">
                  <c:v>1.9850000000000001</c:v>
                </c:pt>
                <c:pt idx="25">
                  <c:v>1.28</c:v>
                </c:pt>
                <c:pt idx="26">
                  <c:v>3.28</c:v>
                </c:pt>
                <c:pt idx="27">
                  <c:v>2.73</c:v>
                </c:pt>
                <c:pt idx="28">
                  <c:v>1.8779999999999999</c:v>
                </c:pt>
                <c:pt idx="29">
                  <c:v>1.216</c:v>
                </c:pt>
                <c:pt idx="30">
                  <c:v>0.64</c:v>
                </c:pt>
                <c:pt idx="31">
                  <c:v>1.4850000000000001</c:v>
                </c:pt>
                <c:pt idx="32">
                  <c:v>0.96899999999999997</c:v>
                </c:pt>
                <c:pt idx="33">
                  <c:v>1.423</c:v>
                </c:pt>
                <c:pt idx="34">
                  <c:v>0.96899999999999997</c:v>
                </c:pt>
                <c:pt idx="35">
                  <c:v>0.93300000000000005</c:v>
                </c:pt>
                <c:pt idx="36">
                  <c:v>1.28</c:v>
                </c:pt>
                <c:pt idx="37">
                  <c:v>3.073</c:v>
                </c:pt>
                <c:pt idx="38">
                  <c:v>4.3529999999999998</c:v>
                </c:pt>
                <c:pt idx="39">
                  <c:v>1.323</c:v>
                </c:pt>
              </c:numCache>
            </c:numRef>
          </c:yVal>
        </c:ser>
        <c:axId val="71142016"/>
        <c:axId val="71148288"/>
      </c:scatterChart>
      <c:valAx>
        <c:axId val="711420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ma</a:t>
                </a:r>
              </a:p>
            </c:rich>
          </c:tx>
          <c:layout/>
        </c:title>
        <c:numFmt formatCode="General" sourceLinked="1"/>
        <c:tickLblPos val="nextTo"/>
        <c:crossAx val="71148288"/>
        <c:crosses val="autoZero"/>
        <c:crossBetween val="midCat"/>
      </c:valAx>
      <c:valAx>
        <c:axId val="711482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ms</a:t>
                </a:r>
              </a:p>
            </c:rich>
          </c:tx>
          <c:layout/>
        </c:title>
        <c:numFmt formatCode="General" sourceLinked="1"/>
        <c:tickLblPos val="nextTo"/>
        <c:crossAx val="71142016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wer"/>
            <c:dispRSqr val="1"/>
            <c:dispEq val="1"/>
            <c:trendlineLbl>
              <c:layout>
                <c:manualLayout>
                  <c:x val="0.10733989501312335"/>
                  <c:y val="-0.50726450860309125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l-GR" sz="1200" b="1" baseline="0"/>
                      <a:t>λ</a:t>
                    </a:r>
                    <a:r>
                      <a:rPr lang="en-US" sz="1200" b="1" baseline="0"/>
                      <a:t>s = 7.0228Fr</a:t>
                    </a:r>
                    <a:r>
                      <a:rPr lang="en-US" sz="1200" b="1" baseline="30000"/>
                      <a:t>-1.397</a:t>
                    </a:r>
                    <a:r>
                      <a:rPr lang="en-US" sz="1200" b="1" baseline="0"/>
                      <a:t>
R² = 0.9619</a:t>
                    </a:r>
                    <a:endParaRPr lang="en-US" sz="1200" b="1"/>
                  </a:p>
                </c:rich>
              </c:tx>
              <c:numFmt formatCode="General" sourceLinked="0"/>
            </c:trendlineLbl>
          </c:trendline>
          <c:xVal>
            <c:numRef>
              <c:f>inputdata!$Y$2:$Y$41</c:f>
              <c:numCache>
                <c:formatCode>General</c:formatCode>
                <c:ptCount val="40"/>
                <c:pt idx="0">
                  <c:v>26.412126362495947</c:v>
                </c:pt>
                <c:pt idx="1">
                  <c:v>24.859015782382894</c:v>
                </c:pt>
                <c:pt idx="2">
                  <c:v>22.007791356281853</c:v>
                </c:pt>
                <c:pt idx="3">
                  <c:v>19.584846088745383</c:v>
                </c:pt>
                <c:pt idx="4">
                  <c:v>16.424836389627284</c:v>
                </c:pt>
                <c:pt idx="5">
                  <c:v>16.520383018517478</c:v>
                </c:pt>
                <c:pt idx="6">
                  <c:v>14.350888627493758</c:v>
                </c:pt>
                <c:pt idx="7">
                  <c:v>11.865891417378172</c:v>
                </c:pt>
                <c:pt idx="8">
                  <c:v>13.967100098043499</c:v>
                </c:pt>
                <c:pt idx="9">
                  <c:v>11.990033087654091</c:v>
                </c:pt>
                <c:pt idx="10">
                  <c:v>9.6622258684365114</c:v>
                </c:pt>
                <c:pt idx="11">
                  <c:v>22.486465482472887</c:v>
                </c:pt>
                <c:pt idx="12">
                  <c:v>20.04885921873862</c:v>
                </c:pt>
                <c:pt idx="13">
                  <c:v>16.827991464645407</c:v>
                </c:pt>
                <c:pt idx="14">
                  <c:v>23.70840176792407</c:v>
                </c:pt>
                <c:pt idx="15">
                  <c:v>19.644104321994231</c:v>
                </c:pt>
                <c:pt idx="16">
                  <c:v>18.819876168623839</c:v>
                </c:pt>
                <c:pt idx="17">
                  <c:v>16.217307414201944</c:v>
                </c:pt>
                <c:pt idx="18">
                  <c:v>14.075025119046733</c:v>
                </c:pt>
                <c:pt idx="19">
                  <c:v>17.758319448056699</c:v>
                </c:pt>
                <c:pt idx="20">
                  <c:v>15.818529533217424</c:v>
                </c:pt>
                <c:pt idx="21">
                  <c:v>17.467780781571026</c:v>
                </c:pt>
                <c:pt idx="22">
                  <c:v>13.943192927849053</c:v>
                </c:pt>
                <c:pt idx="23">
                  <c:v>10.878094482502926</c:v>
                </c:pt>
                <c:pt idx="24">
                  <c:v>9.3483940351433379</c:v>
                </c:pt>
                <c:pt idx="25">
                  <c:v>6.3045266035946836</c:v>
                </c:pt>
                <c:pt idx="26">
                  <c:v>12.709512933430972</c:v>
                </c:pt>
                <c:pt idx="27">
                  <c:v>10.840573507058865</c:v>
                </c:pt>
                <c:pt idx="28">
                  <c:v>6.9312809564227136</c:v>
                </c:pt>
                <c:pt idx="29">
                  <c:v>7.1000292754942267</c:v>
                </c:pt>
                <c:pt idx="30">
                  <c:v>4.8610269461948388</c:v>
                </c:pt>
                <c:pt idx="31">
                  <c:v>12.679103502784866</c:v>
                </c:pt>
                <c:pt idx="32">
                  <c:v>8.5554074253029153</c:v>
                </c:pt>
                <c:pt idx="33">
                  <c:v>20.443235784797249</c:v>
                </c:pt>
                <c:pt idx="34">
                  <c:v>11.160917868463351</c:v>
                </c:pt>
                <c:pt idx="35">
                  <c:v>19.444107784779355</c:v>
                </c:pt>
                <c:pt idx="36">
                  <c:v>26.412126362495947</c:v>
                </c:pt>
                <c:pt idx="37">
                  <c:v>18.804612684302167</c:v>
                </c:pt>
                <c:pt idx="38">
                  <c:v>20.837066122925055</c:v>
                </c:pt>
                <c:pt idx="39">
                  <c:v>4.9658173286074669</c:v>
                </c:pt>
              </c:numCache>
            </c:numRef>
          </c:xVal>
          <c:yVal>
            <c:numRef>
              <c:f>inputdata!$Z$2:$Z$41</c:f>
              <c:numCache>
                <c:formatCode>General</c:formatCode>
                <c:ptCount val="40"/>
                <c:pt idx="0">
                  <c:v>6.8600155207353547E-2</c:v>
                </c:pt>
                <c:pt idx="1">
                  <c:v>7.1540348960587419E-2</c:v>
                </c:pt>
                <c:pt idx="2">
                  <c:v>0.10572708352042227</c:v>
                </c:pt>
                <c:pt idx="3">
                  <c:v>0.10931233794767602</c:v>
                </c:pt>
                <c:pt idx="4">
                  <c:v>0.13080867128774903</c:v>
                </c:pt>
                <c:pt idx="5">
                  <c:v>0.13944245582609979</c:v>
                </c:pt>
                <c:pt idx="6">
                  <c:v>0.1629516431906794</c:v>
                </c:pt>
                <c:pt idx="7">
                  <c:v>0.21221624644000342</c:v>
                </c:pt>
                <c:pt idx="8">
                  <c:v>0.175412812775391</c:v>
                </c:pt>
                <c:pt idx="9">
                  <c:v>0.20627269343500526</c:v>
                </c:pt>
                <c:pt idx="10">
                  <c:v>0.29640622077875978</c:v>
                </c:pt>
                <c:pt idx="11">
                  <c:v>0.10385467869613954</c:v>
                </c:pt>
                <c:pt idx="12">
                  <c:v>0.10717933930404441</c:v>
                </c:pt>
                <c:pt idx="13">
                  <c:v>0.13648268979067329</c:v>
                </c:pt>
                <c:pt idx="14">
                  <c:v>9.8621392495894009E-2</c:v>
                </c:pt>
                <c:pt idx="15">
                  <c:v>0.12068134039278629</c:v>
                </c:pt>
                <c:pt idx="16">
                  <c:v>0.13891021885745558</c:v>
                </c:pt>
                <c:pt idx="17">
                  <c:v>0.1539400822178528</c:v>
                </c:pt>
                <c:pt idx="18">
                  <c:v>0.17207752809905486</c:v>
                </c:pt>
                <c:pt idx="19">
                  <c:v>0.14510451689727233</c:v>
                </c:pt>
                <c:pt idx="20">
                  <c:v>0.15632787233926404</c:v>
                </c:pt>
                <c:pt idx="21">
                  <c:v>0.13396276823872302</c:v>
                </c:pt>
                <c:pt idx="22">
                  <c:v>0.18332173520228737</c:v>
                </c:pt>
                <c:pt idx="23">
                  <c:v>0.25120928448182467</c:v>
                </c:pt>
                <c:pt idx="24">
                  <c:v>0.3111884458918473</c:v>
                </c:pt>
                <c:pt idx="25">
                  <c:v>0.62602895064433584</c:v>
                </c:pt>
                <c:pt idx="26">
                  <c:v>0.19037795911719815</c:v>
                </c:pt>
                <c:pt idx="27">
                  <c:v>0.24842689388231315</c:v>
                </c:pt>
                <c:pt idx="28">
                  <c:v>0.50705108812209843</c:v>
                </c:pt>
                <c:pt idx="29">
                  <c:v>0.4836933044388807</c:v>
                </c:pt>
                <c:pt idx="30">
                  <c:v>0.9990500351442777</c:v>
                </c:pt>
                <c:pt idx="31">
                  <c:v>0.17947342478432987</c:v>
                </c:pt>
                <c:pt idx="32">
                  <c:v>0.32092126567898371</c:v>
                </c:pt>
                <c:pt idx="33">
                  <c:v>8.561743138813778E-2</c:v>
                </c:pt>
                <c:pt idx="34">
                  <c:v>0.20556833232277394</c:v>
                </c:pt>
                <c:pt idx="35">
                  <c:v>7.682235144848748E-2</c:v>
                </c:pt>
                <c:pt idx="36">
                  <c:v>6.8600155207353547E-2</c:v>
                </c:pt>
                <c:pt idx="37">
                  <c:v>0.12283043216027925</c:v>
                </c:pt>
                <c:pt idx="38">
                  <c:v>0.11110165298533936</c:v>
                </c:pt>
                <c:pt idx="39">
                  <c:v>0.55197678491428559</c:v>
                </c:pt>
              </c:numCache>
            </c:numRef>
          </c:yVal>
        </c:ser>
        <c:axId val="71821568"/>
        <c:axId val="73703808"/>
      </c:scatterChart>
      <c:valAx>
        <c:axId val="718215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Fr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b="1">
                <a:solidFill>
                  <a:srgbClr val="C00000"/>
                </a:solidFill>
              </a:defRPr>
            </a:pPr>
            <a:endParaRPr lang="en-US"/>
          </a:p>
        </c:txPr>
        <c:crossAx val="73703808"/>
        <c:crosses val="autoZero"/>
        <c:crossBetween val="midCat"/>
      </c:valAx>
      <c:valAx>
        <c:axId val="7370380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 sz="1200"/>
                  <a:t>Is-m*^0.5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b="1">
                <a:solidFill>
                  <a:srgbClr val="C00000"/>
                </a:solidFill>
              </a:defRPr>
            </a:pPr>
            <a:endParaRPr lang="en-US"/>
          </a:p>
        </c:txPr>
        <c:crossAx val="71821568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wer"/>
            <c:dispRSqr val="1"/>
            <c:dispEq val="1"/>
            <c:trendlineLbl>
              <c:layout>
                <c:manualLayout>
                  <c:x val="0.11731080489938739"/>
                  <c:y val="-0.4470394590506695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200" b="1" baseline="0"/>
                      <a:t>Ci = 106.52m*</a:t>
                    </a:r>
                    <a:r>
                      <a:rPr lang="en-US" sz="1200" b="1" baseline="30000"/>
                      <a:t>-0.722</a:t>
                    </a:r>
                    <a:r>
                      <a:rPr lang="en-US" sz="1200" b="1" baseline="0"/>
                      <a:t>
R² = 0.7147</a:t>
                    </a:r>
                    <a:endParaRPr lang="en-US" sz="1200" b="1"/>
                  </a:p>
                </c:rich>
              </c:tx>
              <c:numFmt formatCode="General" sourceLinked="0"/>
            </c:trendlineLbl>
          </c:trendline>
          <c:xVal>
            <c:numRef>
              <c:f>inputdata!$J$2:$J$41</c:f>
              <c:numCache>
                <c:formatCode>General</c:formatCode>
                <c:ptCount val="40"/>
                <c:pt idx="0">
                  <c:v>15.440289505428227</c:v>
                </c:pt>
                <c:pt idx="1">
                  <c:v>15.838926174496644</c:v>
                </c:pt>
                <c:pt idx="2">
                  <c:v>24.818401937046001</c:v>
                </c:pt>
                <c:pt idx="3">
                  <c:v>28.653555219364595</c:v>
                </c:pt>
                <c:pt idx="4">
                  <c:v>31.8</c:v>
                </c:pt>
                <c:pt idx="5">
                  <c:v>40.619621342512907</c:v>
                </c:pt>
                <c:pt idx="6">
                  <c:v>44.15948275862069</c:v>
                </c:pt>
                <c:pt idx="7">
                  <c:v>45.371428571428567</c:v>
                </c:pt>
                <c:pt idx="8">
                  <c:v>50</c:v>
                </c:pt>
                <c:pt idx="9">
                  <c:v>56.989528795811523</c:v>
                </c:pt>
                <c:pt idx="10">
                  <c:v>56.912280701754391</c:v>
                </c:pt>
                <c:pt idx="11">
                  <c:v>27.556512378902045</c:v>
                </c:pt>
                <c:pt idx="12">
                  <c:v>32.705248990578738</c:v>
                </c:pt>
                <c:pt idx="13">
                  <c:v>34.821428571428569</c:v>
                </c:pt>
                <c:pt idx="14">
                  <c:v>30.683760683760681</c:v>
                </c:pt>
                <c:pt idx="15">
                  <c:v>38.799533799533798</c:v>
                </c:pt>
                <c:pt idx="16">
                  <c:v>37.384428223844282</c:v>
                </c:pt>
                <c:pt idx="17">
                  <c:v>47.496136012364765</c:v>
                </c:pt>
                <c:pt idx="18">
                  <c:v>52.929292929292927</c:v>
                </c:pt>
                <c:pt idx="19">
                  <c:v>46.501210653753027</c:v>
                </c:pt>
                <c:pt idx="20">
                  <c:v>54.236006051437208</c:v>
                </c:pt>
                <c:pt idx="21">
                  <c:v>55.597104945717732</c:v>
                </c:pt>
                <c:pt idx="22">
                  <c:v>71.47783251231526</c:v>
                </c:pt>
                <c:pt idx="23">
                  <c:v>67.127071823204417</c:v>
                </c:pt>
                <c:pt idx="24">
                  <c:v>68.68512110726644</c:v>
                </c:pt>
                <c:pt idx="25">
                  <c:v>71.111111111111114</c:v>
                </c:pt>
                <c:pt idx="26">
                  <c:v>70.537634408602145</c:v>
                </c:pt>
                <c:pt idx="27">
                  <c:v>73.584905660377359</c:v>
                </c:pt>
                <c:pt idx="28">
                  <c:v>89.004739336492889</c:v>
                </c:pt>
                <c:pt idx="29">
                  <c:v>62.04081632653061</c:v>
                </c:pt>
                <c:pt idx="30">
                  <c:v>51.199999999999996</c:v>
                </c:pt>
                <c:pt idx="31">
                  <c:v>41.02209944751381</c:v>
                </c:pt>
                <c:pt idx="32">
                  <c:v>44.045454545454547</c:v>
                </c:pt>
                <c:pt idx="33">
                  <c:v>23.598673300165839</c:v>
                </c:pt>
                <c:pt idx="34">
                  <c:v>33.763066202090592</c:v>
                </c:pt>
                <c:pt idx="35">
                  <c:v>18.66</c:v>
                </c:pt>
                <c:pt idx="36">
                  <c:v>15.440289505428227</c:v>
                </c:pt>
                <c:pt idx="37">
                  <c:v>40.013020833333336</c:v>
                </c:pt>
                <c:pt idx="38">
                  <c:v>41.536259541984727</c:v>
                </c:pt>
                <c:pt idx="39">
                  <c:v>107.5609756097561</c:v>
                </c:pt>
              </c:numCache>
            </c:numRef>
          </c:xVal>
          <c:yVal>
            <c:numRef>
              <c:f>inputdata!$P$2:$P$41</c:f>
              <c:numCache>
                <c:formatCode>General</c:formatCode>
                <c:ptCount val="40"/>
                <c:pt idx="0">
                  <c:v>13.678877087283309</c:v>
                </c:pt>
                <c:pt idx="1">
                  <c:v>13.146508244739429</c:v>
                </c:pt>
                <c:pt idx="2">
                  <c:v>10.636438486275305</c:v>
                </c:pt>
                <c:pt idx="3">
                  <c:v>9.8416834162694897</c:v>
                </c:pt>
                <c:pt idx="4">
                  <c:v>8.6235408936308939</c:v>
                </c:pt>
                <c:pt idx="5">
                  <c:v>8.1717437216464965</c:v>
                </c:pt>
                <c:pt idx="6">
                  <c:v>7.3385259534978129</c:v>
                </c:pt>
                <c:pt idx="7">
                  <c:v>6.3225676599274854</c:v>
                </c:pt>
                <c:pt idx="8">
                  <c:v>6.9806407120412279</c:v>
                </c:pt>
                <c:pt idx="9">
                  <c:v>6.1696319434076878</c:v>
                </c:pt>
                <c:pt idx="10">
                  <c:v>5.148376523083809</c:v>
                </c:pt>
                <c:pt idx="11">
                  <c:v>10.538634269824197</c:v>
                </c:pt>
                <c:pt idx="12">
                  <c:v>9.7320363254767948</c:v>
                </c:pt>
                <c:pt idx="13">
                  <c:v>8.5039794501654136</c:v>
                </c:pt>
                <c:pt idx="14">
                  <c:v>10.592821704827271</c:v>
                </c:pt>
                <c:pt idx="15">
                  <c:v>9.059161092346276</c:v>
                </c:pt>
                <c:pt idx="16">
                  <c:v>8.6790564311289486</c:v>
                </c:pt>
                <c:pt idx="17">
                  <c:v>7.6825809455302201</c:v>
                </c:pt>
                <c:pt idx="18">
                  <c:v>6.9621568712822999</c:v>
                </c:pt>
                <c:pt idx="19">
                  <c:v>8.0521375752877002</c:v>
                </c:pt>
                <c:pt idx="20">
                  <c:v>7.3884778726246036</c:v>
                </c:pt>
                <c:pt idx="21">
                  <c:v>7.8798518881856481</c:v>
                </c:pt>
                <c:pt idx="22">
                  <c:v>6.4301038522597693</c:v>
                </c:pt>
                <c:pt idx="23">
                  <c:v>5.4972152874283564</c:v>
                </c:pt>
                <c:pt idx="24">
                  <c:v>4.8741321534098363</c:v>
                </c:pt>
                <c:pt idx="25">
                  <c:v>3.4133776790909143</c:v>
                </c:pt>
                <c:pt idx="26">
                  <c:v>6.1971900694683821</c:v>
                </c:pt>
                <c:pt idx="27">
                  <c:v>5.4180286698060582</c:v>
                </c:pt>
                <c:pt idx="28">
                  <c:v>3.6391342571122371</c:v>
                </c:pt>
                <c:pt idx="29">
                  <c:v>3.9113853125499034</c:v>
                </c:pt>
                <c:pt idx="30">
                  <c:v>2.7862610197257709</c:v>
                </c:pt>
                <c:pt idx="31">
                  <c:v>6.8646817768383954</c:v>
                </c:pt>
                <c:pt idx="32">
                  <c:v>4.9038193947173561</c:v>
                </c:pt>
                <c:pt idx="33">
                  <c:v>10.892880854103637</c:v>
                </c:pt>
                <c:pt idx="34">
                  <c:v>6.3972553012903699</c:v>
                </c:pt>
                <c:pt idx="35">
                  <c:v>11.145044078903084</c:v>
                </c:pt>
                <c:pt idx="36">
                  <c:v>13.678877087283309</c:v>
                </c:pt>
                <c:pt idx="37">
                  <c:v>8.8438450078198443</c:v>
                </c:pt>
                <c:pt idx="38">
                  <c:v>9.2681255651603891</c:v>
                </c:pt>
                <c:pt idx="39">
                  <c:v>2.9119715790256966</c:v>
                </c:pt>
              </c:numCache>
            </c:numRef>
          </c:yVal>
        </c:ser>
        <c:axId val="73724288"/>
        <c:axId val="73726208"/>
      </c:scatterChart>
      <c:valAx>
        <c:axId val="737242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m*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b="1">
                <a:solidFill>
                  <a:srgbClr val="C00000"/>
                </a:solidFill>
              </a:defRPr>
            </a:pPr>
            <a:endParaRPr lang="en-US"/>
          </a:p>
        </c:txPr>
        <c:crossAx val="73726208"/>
        <c:crosses val="autoZero"/>
        <c:crossBetween val="midCat"/>
      </c:valAx>
      <c:valAx>
        <c:axId val="7372620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 sz="1200"/>
                  <a:t>Ci</a:t>
                </a:r>
              </a:p>
            </c:rich>
          </c:tx>
          <c:layout/>
        </c:title>
        <c:numFmt formatCode="General" sourceLinked="1"/>
        <c:tickLblPos val="nextTo"/>
        <c:spPr>
          <a:solidFill>
            <a:sysClr val="window" lastClr="FFFFFF"/>
          </a:solidFill>
        </c:spPr>
        <c:txPr>
          <a:bodyPr/>
          <a:lstStyle/>
          <a:p>
            <a:pPr>
              <a:defRPr b="1">
                <a:solidFill>
                  <a:srgbClr val="C00000"/>
                </a:solidFill>
              </a:defRPr>
            </a:pPr>
            <a:endParaRPr lang="en-US"/>
          </a:p>
        </c:txPr>
        <c:crossAx val="73724288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wer"/>
            <c:dispRSqr val="1"/>
            <c:dispEq val="1"/>
            <c:trendlineLbl>
              <c:layout>
                <c:manualLayout>
                  <c:x val="0.10054636920384952"/>
                  <c:y val="-0.2242151501895597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200" b="1" baseline="0"/>
                      <a:t>y = 0.0055x</a:t>
                    </a:r>
                    <a:r>
                      <a:rPr lang="en-US" sz="1200" b="1" baseline="30000"/>
                      <a:t>1.0532</a:t>
                    </a:r>
                    <a:r>
                      <a:rPr lang="en-US" sz="1200" b="1" baseline="0"/>
                      <a:t>
R² = 0.5855</a:t>
                    </a:r>
                    <a:endParaRPr lang="en-US" sz="1200" b="1"/>
                  </a:p>
                </c:rich>
              </c:tx>
              <c:numFmt formatCode="General" sourceLinked="0"/>
            </c:trendlineLbl>
          </c:trendline>
          <c:xVal>
            <c:numRef>
              <c:f>Designdata!$I$2:$I$41</c:f>
              <c:numCache>
                <c:formatCode>General</c:formatCode>
                <c:ptCount val="40"/>
                <c:pt idx="0">
                  <c:v>15.440289505428227</c:v>
                </c:pt>
                <c:pt idx="1">
                  <c:v>15.838926174496644</c:v>
                </c:pt>
                <c:pt idx="2">
                  <c:v>24.818401937046001</c:v>
                </c:pt>
                <c:pt idx="3">
                  <c:v>28.653555219364595</c:v>
                </c:pt>
                <c:pt idx="4">
                  <c:v>31.8</c:v>
                </c:pt>
                <c:pt idx="5">
                  <c:v>40.619621342512907</c:v>
                </c:pt>
                <c:pt idx="6">
                  <c:v>44.15948275862069</c:v>
                </c:pt>
                <c:pt idx="7">
                  <c:v>45.371428571428567</c:v>
                </c:pt>
                <c:pt idx="8">
                  <c:v>50</c:v>
                </c:pt>
                <c:pt idx="9">
                  <c:v>56.989528795811523</c:v>
                </c:pt>
                <c:pt idx="10">
                  <c:v>56.912280701754391</c:v>
                </c:pt>
                <c:pt idx="11">
                  <c:v>27.556512378902045</c:v>
                </c:pt>
                <c:pt idx="12">
                  <c:v>32.705248990578738</c:v>
                </c:pt>
                <c:pt idx="13">
                  <c:v>34.821428571428569</c:v>
                </c:pt>
                <c:pt idx="14">
                  <c:v>30.683760683760681</c:v>
                </c:pt>
                <c:pt idx="15">
                  <c:v>38.799533799533798</c:v>
                </c:pt>
                <c:pt idx="16">
                  <c:v>37.384428223844282</c:v>
                </c:pt>
                <c:pt idx="17">
                  <c:v>47.496136012364765</c:v>
                </c:pt>
                <c:pt idx="18">
                  <c:v>52.929292929292927</c:v>
                </c:pt>
                <c:pt idx="19">
                  <c:v>46.501210653753027</c:v>
                </c:pt>
                <c:pt idx="20">
                  <c:v>54.236006051437208</c:v>
                </c:pt>
                <c:pt idx="21">
                  <c:v>55.597104945717732</c:v>
                </c:pt>
                <c:pt idx="22">
                  <c:v>71.47783251231526</c:v>
                </c:pt>
                <c:pt idx="23">
                  <c:v>67.127071823204417</c:v>
                </c:pt>
                <c:pt idx="24">
                  <c:v>68.68512110726644</c:v>
                </c:pt>
                <c:pt idx="25">
                  <c:v>71.111111111111114</c:v>
                </c:pt>
                <c:pt idx="26">
                  <c:v>70.537634408602145</c:v>
                </c:pt>
                <c:pt idx="27">
                  <c:v>73.584905660377359</c:v>
                </c:pt>
                <c:pt idx="28">
                  <c:v>89.004739336492889</c:v>
                </c:pt>
                <c:pt idx="29">
                  <c:v>62.04081632653061</c:v>
                </c:pt>
                <c:pt idx="30">
                  <c:v>51.199999999999996</c:v>
                </c:pt>
                <c:pt idx="31">
                  <c:v>41.02209944751381</c:v>
                </c:pt>
                <c:pt idx="32">
                  <c:v>44.045454545454547</c:v>
                </c:pt>
                <c:pt idx="33">
                  <c:v>23.598673300165839</c:v>
                </c:pt>
                <c:pt idx="34">
                  <c:v>33.763066202090592</c:v>
                </c:pt>
                <c:pt idx="35">
                  <c:v>18.66</c:v>
                </c:pt>
                <c:pt idx="36">
                  <c:v>15.440289505428227</c:v>
                </c:pt>
                <c:pt idx="37">
                  <c:v>40.013020833333336</c:v>
                </c:pt>
                <c:pt idx="38">
                  <c:v>41.536259541984727</c:v>
                </c:pt>
                <c:pt idx="39">
                  <c:v>107.5609756097561</c:v>
                </c:pt>
              </c:numCache>
            </c:numRef>
          </c:xVal>
          <c:yVal>
            <c:numRef>
              <c:f>Designdata!$AB$2:$AB$41</c:f>
              <c:numCache>
                <c:formatCode>General</c:formatCode>
                <c:ptCount val="40"/>
                <c:pt idx="0">
                  <c:v>0.11425109690199459</c:v>
                </c:pt>
                <c:pt idx="1">
                  <c:v>0.12834719911133571</c:v>
                </c:pt>
                <c:pt idx="2">
                  <c:v>0.13954777466528681</c:v>
                </c:pt>
                <c:pt idx="3">
                  <c:v>0.18386461310491728</c:v>
                </c:pt>
                <c:pt idx="4">
                  <c:v>0.24962729778808945</c:v>
                </c:pt>
                <c:pt idx="5">
                  <c:v>0.2387088148859893</c:v>
                </c:pt>
                <c:pt idx="6">
                  <c:v>0.30447893725826536</c:v>
                </c:pt>
                <c:pt idx="7">
                  <c:v>0.39685883695450824</c:v>
                </c:pt>
                <c:pt idx="8">
                  <c:v>0.31083367960179803</c:v>
                </c:pt>
                <c:pt idx="9">
                  <c:v>0.40149455887288921</c:v>
                </c:pt>
                <c:pt idx="10">
                  <c:v>0.51895843716566781</c:v>
                </c:pt>
                <c:pt idx="11">
                  <c:v>0.12942866468359129</c:v>
                </c:pt>
                <c:pt idx="12">
                  <c:v>0.17291725932208524</c:v>
                </c:pt>
                <c:pt idx="13">
                  <c:v>0.23269943292269354</c:v>
                </c:pt>
                <c:pt idx="14">
                  <c:v>0.10698796359687801</c:v>
                </c:pt>
                <c:pt idx="15">
                  <c:v>0.1603646544061483</c:v>
                </c:pt>
                <c:pt idx="16">
                  <c:v>0.16493056359751626</c:v>
                </c:pt>
                <c:pt idx="17">
                  <c:v>0.22865800596832617</c:v>
                </c:pt>
                <c:pt idx="18">
                  <c:v>0.30755612352416578</c:v>
                </c:pt>
                <c:pt idx="19">
                  <c:v>0.17858379761422688</c:v>
                </c:pt>
                <c:pt idx="20">
                  <c:v>0.23560509133752314</c:v>
                </c:pt>
                <c:pt idx="21">
                  <c:v>0.19047911271214668</c:v>
                </c:pt>
                <c:pt idx="22">
                  <c:v>0.28292102636882083</c:v>
                </c:pt>
                <c:pt idx="23">
                  <c:v>0.44887930636574414</c:v>
                </c:pt>
                <c:pt idx="24">
                  <c:v>0.55268424657550708</c:v>
                </c:pt>
                <c:pt idx="25">
                  <c:v>0.83011617944508143</c:v>
                </c:pt>
                <c:pt idx="26">
                  <c:v>0.36370695908984374</c:v>
                </c:pt>
                <c:pt idx="27">
                  <c:v>0.45486149689318839</c:v>
                </c:pt>
                <c:pt idx="28">
                  <c:v>0.79962029005713553</c:v>
                </c:pt>
                <c:pt idx="29">
                  <c:v>0.73292444666906731</c:v>
                </c:pt>
                <c:pt idx="30">
                  <c:v>0.95351103682175409</c:v>
                </c:pt>
                <c:pt idx="31">
                  <c:v>0.36994654755158862</c:v>
                </c:pt>
                <c:pt idx="32">
                  <c:v>0.57938117123887234</c:v>
                </c:pt>
                <c:pt idx="33">
                  <c:v>0.18567453532338127</c:v>
                </c:pt>
                <c:pt idx="34">
                  <c:v>0.41699501496345087</c:v>
                </c:pt>
                <c:pt idx="35">
                  <c:v>0.20060996280464458</c:v>
                </c:pt>
                <c:pt idx="36">
                  <c:v>0.11425109690199459</c:v>
                </c:pt>
                <c:pt idx="37">
                  <c:v>0.18109327294361083</c:v>
                </c:pt>
                <c:pt idx="38">
                  <c:v>0.13477857782048167</c:v>
                </c:pt>
                <c:pt idx="39">
                  <c:v>1.3278666110372259</c:v>
                </c:pt>
              </c:numCache>
            </c:numRef>
          </c:yVal>
        </c:ser>
        <c:axId val="73386240"/>
        <c:axId val="73990528"/>
      </c:scatterChart>
      <c:valAx>
        <c:axId val="733862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m*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b="1">
                <a:solidFill>
                  <a:srgbClr val="C00000"/>
                </a:solidFill>
              </a:defRPr>
            </a:pPr>
            <a:endParaRPr lang="en-US"/>
          </a:p>
        </c:txPr>
        <c:crossAx val="73990528"/>
        <c:crosses val="autoZero"/>
        <c:crossBetween val="midCat"/>
      </c:valAx>
      <c:valAx>
        <c:axId val="7399052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l-GR" sz="1200"/>
                  <a:t>Δ</a:t>
                </a:r>
                <a:r>
                  <a:rPr lang="en-US" sz="1200"/>
                  <a:t>p/P-total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b="1">
                <a:solidFill>
                  <a:srgbClr val="C00000"/>
                </a:solidFill>
              </a:defRPr>
            </a:pPr>
            <a:endParaRPr lang="en-US"/>
          </a:p>
        </c:txPr>
        <c:crossAx val="73386240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wer"/>
            <c:dispRSqr val="1"/>
            <c:dispEq val="1"/>
            <c:trendlineLbl>
              <c:layout>
                <c:manualLayout>
                  <c:x val="0.1923624234470693"/>
                  <c:y val="-0.52828302712160957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200" b="1" baseline="0"/>
                      <a:t>y = 12.936x</a:t>
                    </a:r>
                    <a:r>
                      <a:rPr lang="en-US" sz="1200" b="1" baseline="30000"/>
                      <a:t>-1.441</a:t>
                    </a:r>
                    <a:r>
                      <a:rPr lang="en-US" sz="1200" b="1" baseline="0"/>
                      <a:t>
R² = 0.9889</a:t>
                    </a:r>
                    <a:endParaRPr lang="en-US" sz="1200" b="1"/>
                  </a:p>
                </c:rich>
              </c:tx>
              <c:numFmt formatCode="General" sourceLinked="0"/>
            </c:trendlineLbl>
          </c:trendline>
          <c:xVal>
            <c:numRef>
              <c:f>Designdata!$W$2:$W$41</c:f>
              <c:numCache>
                <c:formatCode>General</c:formatCode>
                <c:ptCount val="40"/>
                <c:pt idx="0">
                  <c:v>26.020255051479694</c:v>
                </c:pt>
                <c:pt idx="1">
                  <c:v>24.247101547739625</c:v>
                </c:pt>
                <c:pt idx="2">
                  <c:v>22.992350443273413</c:v>
                </c:pt>
                <c:pt idx="3">
                  <c:v>19.530139814754474</c:v>
                </c:pt>
                <c:pt idx="4">
                  <c:v>16.075371785592662</c:v>
                </c:pt>
                <c:pt idx="5">
                  <c:v>16.520383018517478</c:v>
                </c:pt>
                <c:pt idx="6">
                  <c:v>14.144103488769064</c:v>
                </c:pt>
                <c:pt idx="7">
                  <c:v>11.715690260196171</c:v>
                </c:pt>
                <c:pt idx="8">
                  <c:v>13.928623238269271</c:v>
                </c:pt>
                <c:pt idx="9">
                  <c:v>11.746049856219267</c:v>
                </c:pt>
                <c:pt idx="10">
                  <c:v>9.6622258684365114</c:v>
                </c:pt>
                <c:pt idx="11">
                  <c:v>23.678519074314824</c:v>
                </c:pt>
                <c:pt idx="12">
                  <c:v>20.100135073518</c:v>
                </c:pt>
                <c:pt idx="13">
                  <c:v>16.827991464645407</c:v>
                </c:pt>
                <c:pt idx="14">
                  <c:v>25.308355261464964</c:v>
                </c:pt>
                <c:pt idx="15">
                  <c:v>20.440486929642645</c:v>
                </c:pt>
                <c:pt idx="16">
                  <c:v>20.267558950825673</c:v>
                </c:pt>
                <c:pt idx="17">
                  <c:v>16.691960314129808</c:v>
                </c:pt>
                <c:pt idx="18">
                  <c:v>13.99975760504114</c:v>
                </c:pt>
                <c:pt idx="19">
                  <c:v>18.911457074553887</c:v>
                </c:pt>
                <c:pt idx="20">
                  <c:v>16.184699198338198</c:v>
                </c:pt>
                <c:pt idx="21">
                  <c:v>17.750659822568132</c:v>
                </c:pt>
                <c:pt idx="22">
                  <c:v>14.157703588277501</c:v>
                </c:pt>
                <c:pt idx="23">
                  <c:v>10.878094482502926</c:v>
                </c:pt>
                <c:pt idx="24">
                  <c:v>9.3770700904658622</c:v>
                </c:pt>
                <c:pt idx="25">
                  <c:v>6.6109966468249812</c:v>
                </c:pt>
                <c:pt idx="26">
                  <c:v>12.420660366762087</c:v>
                </c:pt>
                <c:pt idx="27">
                  <c:v>10.781009916360739</c:v>
                </c:pt>
                <c:pt idx="28">
                  <c:v>7.1305829647543568</c:v>
                </c:pt>
                <c:pt idx="29">
                  <c:v>7.2237231653111991</c:v>
                </c:pt>
                <c:pt idx="30">
                  <c:v>5.1648411303320172</c:v>
                </c:pt>
                <c:pt idx="31">
                  <c:v>12.233512005881884</c:v>
                </c:pt>
                <c:pt idx="32">
                  <c:v>8.3707583441812723</c:v>
                </c:pt>
                <c:pt idx="33">
                  <c:v>19.386898373424749</c:v>
                </c:pt>
                <c:pt idx="34">
                  <c:v>10.727101272869369</c:v>
                </c:pt>
                <c:pt idx="35">
                  <c:v>17.928126499864359</c:v>
                </c:pt>
                <c:pt idx="36">
                  <c:v>26.020255051479694</c:v>
                </c:pt>
                <c:pt idx="37">
                  <c:v>19.20471082652136</c:v>
                </c:pt>
                <c:pt idx="38">
                  <c:v>21.735919955678686</c:v>
                </c:pt>
                <c:pt idx="39">
                  <c:v>4.5973291169440156</c:v>
                </c:pt>
              </c:numCache>
            </c:numRef>
          </c:xVal>
          <c:yVal>
            <c:numRef>
              <c:f>Designdata!$AB$2:$AB$41</c:f>
              <c:numCache>
                <c:formatCode>General</c:formatCode>
                <c:ptCount val="40"/>
                <c:pt idx="0">
                  <c:v>0.11425109690199459</c:v>
                </c:pt>
                <c:pt idx="1">
                  <c:v>0.12834719911133571</c:v>
                </c:pt>
                <c:pt idx="2">
                  <c:v>0.13954777466528681</c:v>
                </c:pt>
                <c:pt idx="3">
                  <c:v>0.18386461310491728</c:v>
                </c:pt>
                <c:pt idx="4">
                  <c:v>0.24962729778808945</c:v>
                </c:pt>
                <c:pt idx="5">
                  <c:v>0.2387088148859893</c:v>
                </c:pt>
                <c:pt idx="6">
                  <c:v>0.30447893725826536</c:v>
                </c:pt>
                <c:pt idx="7">
                  <c:v>0.39685883695450824</c:v>
                </c:pt>
                <c:pt idx="8">
                  <c:v>0.31083367960179803</c:v>
                </c:pt>
                <c:pt idx="9">
                  <c:v>0.40149455887288921</c:v>
                </c:pt>
                <c:pt idx="10">
                  <c:v>0.51895843716566781</c:v>
                </c:pt>
                <c:pt idx="11">
                  <c:v>0.12942866468359129</c:v>
                </c:pt>
                <c:pt idx="12">
                  <c:v>0.17291725932208524</c:v>
                </c:pt>
                <c:pt idx="13">
                  <c:v>0.23269943292269354</c:v>
                </c:pt>
                <c:pt idx="14">
                  <c:v>0.10698796359687801</c:v>
                </c:pt>
                <c:pt idx="15">
                  <c:v>0.1603646544061483</c:v>
                </c:pt>
                <c:pt idx="16">
                  <c:v>0.16493056359751626</c:v>
                </c:pt>
                <c:pt idx="17">
                  <c:v>0.22865800596832617</c:v>
                </c:pt>
                <c:pt idx="18">
                  <c:v>0.30755612352416578</c:v>
                </c:pt>
                <c:pt idx="19">
                  <c:v>0.17858379761422688</c:v>
                </c:pt>
                <c:pt idx="20">
                  <c:v>0.23560509133752314</c:v>
                </c:pt>
                <c:pt idx="21">
                  <c:v>0.19047911271214668</c:v>
                </c:pt>
                <c:pt idx="22">
                  <c:v>0.28292102636882083</c:v>
                </c:pt>
                <c:pt idx="23">
                  <c:v>0.44887930636574414</c:v>
                </c:pt>
                <c:pt idx="24">
                  <c:v>0.55268424657550708</c:v>
                </c:pt>
                <c:pt idx="25">
                  <c:v>0.83011617944508143</c:v>
                </c:pt>
                <c:pt idx="26">
                  <c:v>0.36370695908984374</c:v>
                </c:pt>
                <c:pt idx="27">
                  <c:v>0.45486149689318839</c:v>
                </c:pt>
                <c:pt idx="28">
                  <c:v>0.79962029005713553</c:v>
                </c:pt>
                <c:pt idx="29">
                  <c:v>0.73292444666906731</c:v>
                </c:pt>
                <c:pt idx="30">
                  <c:v>0.95351103682175409</c:v>
                </c:pt>
                <c:pt idx="31">
                  <c:v>0.36994654755158862</c:v>
                </c:pt>
                <c:pt idx="32">
                  <c:v>0.57938117123887234</c:v>
                </c:pt>
                <c:pt idx="33">
                  <c:v>0.18567453532338127</c:v>
                </c:pt>
                <c:pt idx="34">
                  <c:v>0.41699501496345087</c:v>
                </c:pt>
                <c:pt idx="35">
                  <c:v>0.20060996280464458</c:v>
                </c:pt>
                <c:pt idx="36">
                  <c:v>0.11425109690199459</c:v>
                </c:pt>
                <c:pt idx="37">
                  <c:v>0.18109327294361083</c:v>
                </c:pt>
                <c:pt idx="38">
                  <c:v>0.13477857782048167</c:v>
                </c:pt>
                <c:pt idx="39">
                  <c:v>1.3278666110372259</c:v>
                </c:pt>
              </c:numCache>
            </c:numRef>
          </c:yVal>
        </c:ser>
        <c:axId val="74015104"/>
        <c:axId val="74017024"/>
      </c:scatterChart>
      <c:valAx>
        <c:axId val="740151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Fr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b="1">
                <a:solidFill>
                  <a:srgbClr val="C00000"/>
                </a:solidFill>
              </a:defRPr>
            </a:pPr>
            <a:endParaRPr lang="en-US"/>
          </a:p>
        </c:txPr>
        <c:crossAx val="74017024"/>
        <c:crosses val="autoZero"/>
        <c:crossBetween val="midCat"/>
      </c:valAx>
      <c:valAx>
        <c:axId val="7401702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l-GR" sz="1200"/>
                  <a:t>Δ</a:t>
                </a:r>
                <a:r>
                  <a:rPr lang="en-AU" sz="1200"/>
                  <a:t>p/P-total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b="1">
                <a:solidFill>
                  <a:srgbClr val="C00000"/>
                </a:solidFill>
              </a:defRPr>
            </a:pPr>
            <a:endParaRPr lang="en-US"/>
          </a:p>
        </c:txPr>
        <c:crossAx val="74015104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dLbls>
            <c:showVal val="1"/>
          </c:dLbls>
          <c:xVal>
            <c:numRef>
              <c:f>inputdata!$G$2:$G$41</c:f>
              <c:numCache>
                <c:formatCode>General</c:formatCode>
                <c:ptCount val="40"/>
                <c:pt idx="0">
                  <c:v>8.2900000000000001E-2</c:v>
                </c:pt>
                <c:pt idx="1">
                  <c:v>7.4499999999999997E-2</c:v>
                </c:pt>
                <c:pt idx="2">
                  <c:v>8.2600000000000007E-2</c:v>
                </c:pt>
                <c:pt idx="3">
                  <c:v>6.6100000000000006E-2</c:v>
                </c:pt>
                <c:pt idx="4">
                  <c:v>0.05</c:v>
                </c:pt>
                <c:pt idx="5">
                  <c:v>5.8099999999999999E-2</c:v>
                </c:pt>
                <c:pt idx="6">
                  <c:v>4.6399999999999997E-2</c:v>
                </c:pt>
                <c:pt idx="7">
                  <c:v>3.5000000000000003E-2</c:v>
                </c:pt>
                <c:pt idx="8">
                  <c:v>4.7800000000000002E-2</c:v>
                </c:pt>
                <c:pt idx="9">
                  <c:v>3.8199999999999998E-2</c:v>
                </c:pt>
                <c:pt idx="10">
                  <c:v>2.8500000000000001E-2</c:v>
                </c:pt>
                <c:pt idx="11">
                  <c:v>9.2899999999999996E-2</c:v>
                </c:pt>
                <c:pt idx="12">
                  <c:v>7.4300000000000005E-2</c:v>
                </c:pt>
                <c:pt idx="13">
                  <c:v>5.6000000000000001E-2</c:v>
                </c:pt>
                <c:pt idx="14">
                  <c:v>0.11700000000000001</c:v>
                </c:pt>
                <c:pt idx="15">
                  <c:v>8.5800000000000001E-2</c:v>
                </c:pt>
                <c:pt idx="16">
                  <c:v>8.2199999999999995E-2</c:v>
                </c:pt>
                <c:pt idx="17">
                  <c:v>6.4699999999999994E-2</c:v>
                </c:pt>
                <c:pt idx="18">
                  <c:v>4.9500000000000002E-2</c:v>
                </c:pt>
                <c:pt idx="19">
                  <c:v>8.2600000000000007E-2</c:v>
                </c:pt>
                <c:pt idx="20">
                  <c:v>6.6100000000000006E-2</c:v>
                </c:pt>
                <c:pt idx="21">
                  <c:v>8.2900000000000001E-2</c:v>
                </c:pt>
                <c:pt idx="22">
                  <c:v>6.0900000000000003E-2</c:v>
                </c:pt>
                <c:pt idx="23">
                  <c:v>3.6200000000000003E-2</c:v>
                </c:pt>
                <c:pt idx="24">
                  <c:v>2.8899999999999999E-2</c:v>
                </c:pt>
                <c:pt idx="25">
                  <c:v>1.7999999999999999E-2</c:v>
                </c:pt>
                <c:pt idx="26">
                  <c:v>4.65E-2</c:v>
                </c:pt>
                <c:pt idx="27">
                  <c:v>3.7100000000000001E-2</c:v>
                </c:pt>
                <c:pt idx="28">
                  <c:v>2.1100000000000001E-2</c:v>
                </c:pt>
                <c:pt idx="29">
                  <c:v>1.9599999999999999E-2</c:v>
                </c:pt>
                <c:pt idx="30">
                  <c:v>1.2500000000000001E-2</c:v>
                </c:pt>
                <c:pt idx="31">
                  <c:v>3.6200000000000003E-2</c:v>
                </c:pt>
                <c:pt idx="32">
                  <c:v>2.1999999999999999E-2</c:v>
                </c:pt>
                <c:pt idx="33">
                  <c:v>6.0299999999999999E-2</c:v>
                </c:pt>
                <c:pt idx="34">
                  <c:v>2.87E-2</c:v>
                </c:pt>
                <c:pt idx="35">
                  <c:v>0.05</c:v>
                </c:pt>
                <c:pt idx="36">
                  <c:v>8.2900000000000001E-2</c:v>
                </c:pt>
                <c:pt idx="37">
                  <c:v>7.6799999999999993E-2</c:v>
                </c:pt>
                <c:pt idx="38">
                  <c:v>0.1048</c:v>
                </c:pt>
                <c:pt idx="39">
                  <c:v>1.23E-2</c:v>
                </c:pt>
              </c:numCache>
            </c:numRef>
          </c:xVal>
          <c:yVal>
            <c:numRef>
              <c:f>inputdata!$H$2:$H$41</c:f>
              <c:numCache>
                <c:formatCode>General</c:formatCode>
                <c:ptCount val="40"/>
                <c:pt idx="0">
                  <c:v>1.28</c:v>
                </c:pt>
                <c:pt idx="1">
                  <c:v>1.18</c:v>
                </c:pt>
                <c:pt idx="2">
                  <c:v>2.0499999999999998</c:v>
                </c:pt>
                <c:pt idx="3">
                  <c:v>1.8939999999999999</c:v>
                </c:pt>
                <c:pt idx="4">
                  <c:v>1.59</c:v>
                </c:pt>
                <c:pt idx="5">
                  <c:v>2.36</c:v>
                </c:pt>
                <c:pt idx="6">
                  <c:v>2.0489999999999999</c:v>
                </c:pt>
                <c:pt idx="7">
                  <c:v>1.5880000000000001</c:v>
                </c:pt>
                <c:pt idx="8">
                  <c:v>2.39</c:v>
                </c:pt>
                <c:pt idx="9">
                  <c:v>2.177</c:v>
                </c:pt>
                <c:pt idx="10">
                  <c:v>1.6220000000000001</c:v>
                </c:pt>
                <c:pt idx="11">
                  <c:v>2.56</c:v>
                </c:pt>
                <c:pt idx="12">
                  <c:v>2.4300000000000002</c:v>
                </c:pt>
                <c:pt idx="13">
                  <c:v>1.95</c:v>
                </c:pt>
                <c:pt idx="14">
                  <c:v>3.59</c:v>
                </c:pt>
                <c:pt idx="15">
                  <c:v>3.3290000000000002</c:v>
                </c:pt>
                <c:pt idx="16">
                  <c:v>3.073</c:v>
                </c:pt>
                <c:pt idx="17">
                  <c:v>3.073</c:v>
                </c:pt>
                <c:pt idx="18">
                  <c:v>2.62</c:v>
                </c:pt>
                <c:pt idx="19">
                  <c:v>3.8410000000000002</c:v>
                </c:pt>
                <c:pt idx="20">
                  <c:v>3.585</c:v>
                </c:pt>
                <c:pt idx="21">
                  <c:v>4.609</c:v>
                </c:pt>
                <c:pt idx="22">
                  <c:v>4.3529999999999998</c:v>
                </c:pt>
                <c:pt idx="23">
                  <c:v>2.4300000000000002</c:v>
                </c:pt>
                <c:pt idx="24">
                  <c:v>1.9850000000000001</c:v>
                </c:pt>
                <c:pt idx="25">
                  <c:v>1.28</c:v>
                </c:pt>
                <c:pt idx="26">
                  <c:v>3.28</c:v>
                </c:pt>
                <c:pt idx="27">
                  <c:v>2.73</c:v>
                </c:pt>
                <c:pt idx="28">
                  <c:v>1.8779999999999999</c:v>
                </c:pt>
                <c:pt idx="29">
                  <c:v>1.216</c:v>
                </c:pt>
                <c:pt idx="30">
                  <c:v>0.64</c:v>
                </c:pt>
                <c:pt idx="31">
                  <c:v>1.4850000000000001</c:v>
                </c:pt>
                <c:pt idx="32">
                  <c:v>0.96899999999999997</c:v>
                </c:pt>
                <c:pt idx="33">
                  <c:v>1.423</c:v>
                </c:pt>
                <c:pt idx="34">
                  <c:v>0.96899999999999997</c:v>
                </c:pt>
                <c:pt idx="35">
                  <c:v>0.93300000000000005</c:v>
                </c:pt>
                <c:pt idx="36">
                  <c:v>1.28</c:v>
                </c:pt>
                <c:pt idx="37">
                  <c:v>3.073</c:v>
                </c:pt>
                <c:pt idx="38">
                  <c:v>4.3529999999999998</c:v>
                </c:pt>
                <c:pt idx="39">
                  <c:v>1.323</c:v>
                </c:pt>
              </c:numCache>
            </c:numRef>
          </c:yVal>
        </c:ser>
        <c:axId val="92381952"/>
        <c:axId val="92383872"/>
      </c:scatterChart>
      <c:valAx>
        <c:axId val="923819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ma</a:t>
                </a:r>
              </a:p>
            </c:rich>
          </c:tx>
          <c:layout/>
        </c:title>
        <c:numFmt formatCode="General" sourceLinked="1"/>
        <c:tickLblPos val="nextTo"/>
        <c:crossAx val="92383872"/>
        <c:crosses val="autoZero"/>
        <c:crossBetween val="midCat"/>
      </c:valAx>
      <c:valAx>
        <c:axId val="9238387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ms</a:t>
                </a:r>
              </a:p>
            </c:rich>
          </c:tx>
          <c:layout/>
        </c:title>
        <c:numFmt formatCode="General" sourceLinked="1"/>
        <c:tickLblPos val="nextTo"/>
        <c:crossAx val="92381952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228601</xdr:colOff>
      <xdr:row>5</xdr:row>
      <xdr:rowOff>38100</xdr:rowOff>
    </xdr:from>
    <xdr:to>
      <xdr:col>22</xdr:col>
      <xdr:colOff>409576</xdr:colOff>
      <xdr:row>41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190499</xdr:rowOff>
    </xdr:from>
    <xdr:to>
      <xdr:col>7</xdr:col>
      <xdr:colOff>457200</xdr:colOff>
      <xdr:row>15</xdr:row>
      <xdr:rowOff>180974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0</xdr:rowOff>
    </xdr:from>
    <xdr:to>
      <xdr:col>15</xdr:col>
      <xdr:colOff>314325</xdr:colOff>
      <xdr:row>16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152400</xdr:colOff>
      <xdr:row>16</xdr:row>
      <xdr:rowOff>180975</xdr:rowOff>
    </xdr:from>
    <xdr:to>
      <xdr:col>7</xdr:col>
      <xdr:colOff>457200</xdr:colOff>
      <xdr:row>32</xdr:row>
      <xdr:rowOff>19050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600075</xdr:colOff>
      <xdr:row>16</xdr:row>
      <xdr:rowOff>180974</xdr:rowOff>
    </xdr:from>
    <xdr:to>
      <xdr:col>15</xdr:col>
      <xdr:colOff>295275</xdr:colOff>
      <xdr:row>32</xdr:row>
      <xdr:rowOff>19049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114300</xdr:colOff>
      <xdr:row>33</xdr:row>
      <xdr:rowOff>47625</xdr:rowOff>
    </xdr:from>
    <xdr:to>
      <xdr:col>15</xdr:col>
      <xdr:colOff>285750</xdr:colOff>
      <xdr:row>69</xdr:row>
      <xdr:rowOff>19050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1"/>
  <sheetViews>
    <sheetView topLeftCell="C4" workbookViewId="0">
      <selection activeCell="H2" activeCellId="1" sqref="G2:G41 H2:H41"/>
    </sheetView>
  </sheetViews>
  <sheetFormatPr defaultRowHeight="15"/>
  <cols>
    <col min="1" max="6" width="9.140625" style="14" customWidth="1"/>
    <col min="7" max="16" width="9.140625" style="14"/>
    <col min="17" max="17" width="0" style="14" hidden="1" customWidth="1"/>
    <col min="18" max="19" width="9.140625" style="14"/>
    <col min="20" max="20" width="10.42578125" style="14" bestFit="1" customWidth="1"/>
    <col min="21" max="21" width="12" style="14" bestFit="1" customWidth="1"/>
    <col min="22" max="23" width="9.140625" style="14"/>
    <col min="24" max="24" width="12.7109375" style="14" bestFit="1" customWidth="1"/>
    <col min="25" max="16384" width="9.140625" style="14"/>
  </cols>
  <sheetData>
    <row r="1" spans="1:26" ht="15.75">
      <c r="A1" s="27" t="s">
        <v>3</v>
      </c>
      <c r="B1" s="27" t="s">
        <v>5</v>
      </c>
      <c r="C1" s="27" t="s">
        <v>4</v>
      </c>
      <c r="D1" s="27" t="s">
        <v>6</v>
      </c>
      <c r="E1" s="27" t="s">
        <v>7</v>
      </c>
      <c r="F1" s="27" t="s">
        <v>18</v>
      </c>
      <c r="G1" s="15" t="s">
        <v>41</v>
      </c>
      <c r="H1" s="15" t="s">
        <v>42</v>
      </c>
      <c r="I1" s="15" t="s">
        <v>56</v>
      </c>
      <c r="J1" s="15" t="s">
        <v>43</v>
      </c>
      <c r="K1" s="15" t="s">
        <v>44</v>
      </c>
      <c r="L1" s="15" t="s">
        <v>45</v>
      </c>
      <c r="M1" s="15" t="s">
        <v>26</v>
      </c>
      <c r="N1" s="15" t="s">
        <v>25</v>
      </c>
      <c r="O1" s="15" t="s">
        <v>27</v>
      </c>
      <c r="P1" s="15" t="s">
        <v>46</v>
      </c>
      <c r="Q1" s="15" t="s">
        <v>47</v>
      </c>
      <c r="R1" s="15" t="s">
        <v>48</v>
      </c>
      <c r="S1" s="15" t="s">
        <v>49</v>
      </c>
      <c r="T1" s="15" t="s">
        <v>50</v>
      </c>
      <c r="U1" s="17" t="s">
        <v>54</v>
      </c>
      <c r="V1" s="15" t="s">
        <v>53</v>
      </c>
      <c r="W1" s="15" t="s">
        <v>52</v>
      </c>
      <c r="X1" s="15" t="s">
        <v>55</v>
      </c>
      <c r="Y1" s="15" t="s">
        <v>51</v>
      </c>
      <c r="Z1" s="15" t="s">
        <v>57</v>
      </c>
    </row>
    <row r="2" spans="1:26">
      <c r="A2" s="14">
        <v>5.2999999999999999E-2</v>
      </c>
      <c r="B2" s="14">
        <v>0</v>
      </c>
      <c r="C2" s="14">
        <v>50</v>
      </c>
      <c r="D2" s="14">
        <v>9</v>
      </c>
      <c r="E2" s="14">
        <v>0.6</v>
      </c>
      <c r="F2" s="14">
        <v>4.5999999999999999E-2</v>
      </c>
      <c r="G2" s="14">
        <v>8.2900000000000001E-2</v>
      </c>
      <c r="H2" s="14">
        <v>1.28</v>
      </c>
      <c r="I2" s="14">
        <v>130</v>
      </c>
      <c r="J2" s="14">
        <f>H2/G2</f>
        <v>15.440289505428227</v>
      </c>
      <c r="K2" s="14">
        <v>101</v>
      </c>
      <c r="L2" s="14">
        <f>(2*K2+I2)/2</f>
        <v>166</v>
      </c>
      <c r="M2" s="14">
        <f>(K2+I2)*1000/(287*293)</f>
        <v>2.7470240572712896</v>
      </c>
      <c r="N2" s="14">
        <f>K2*1000/(287*293)</f>
        <v>1.2010797826164512</v>
      </c>
      <c r="O2" s="14">
        <f>L2*1000/(287*293)</f>
        <v>1.9740519199438704</v>
      </c>
      <c r="P2" s="14">
        <f>(4*G2)/(M2*PI()*0.053^2)</f>
        <v>13.678877087283309</v>
      </c>
      <c r="Q2" s="14">
        <f>106.52*J2^(-0.722)</f>
        <v>14.764608332920179</v>
      </c>
      <c r="R2" s="14">
        <f>4*G2/(N2*PI()*0.053^2)</f>
        <v>31.285352546162823</v>
      </c>
      <c r="S2" s="14">
        <f>4*G2/(O2*PI()*0.053^2)</f>
        <v>19.035063898568943</v>
      </c>
      <c r="T2" s="14">
        <f t="shared" ref="T2:T41" si="0">S2*A2*O2/(1.8*10^-5)</f>
        <v>110641.0463926048</v>
      </c>
      <c r="U2" s="14">
        <f>1.325/(LN((F2/1000)/(3.7*A2)+5.74/T2^0.9))^2</f>
        <v>2.16489090294338E-2</v>
      </c>
      <c r="V2" s="14">
        <f t="shared" ref="V2:V41" si="1">U2*C2*O2*S2^2/(2*A2*1000)</f>
        <v>7.3041116570079216</v>
      </c>
      <c r="W2" s="14">
        <f t="shared" ref="W2:W41" si="2">D2*E2*(1+J2)*O2*S2^2/(2*1000)</f>
        <v>31.749762002858301</v>
      </c>
      <c r="X2" s="14">
        <f t="shared" ref="X2:X41" si="3">(I2-V2-W2)*2*A2*1000/(J2*C2*O2*S2^2)</f>
        <v>1.7458116157674418E-2</v>
      </c>
      <c r="Y2" s="14">
        <f t="shared" ref="Y2:Y41" si="4">S2/(9.8*A2)^0.5</f>
        <v>26.412126362495947</v>
      </c>
      <c r="Z2" s="14">
        <f>X2*J2^0.5</f>
        <v>6.8600155207353547E-2</v>
      </c>
    </row>
    <row r="3" spans="1:26">
      <c r="A3" s="14">
        <v>5.2999999999999999E-2</v>
      </c>
      <c r="B3" s="14">
        <v>0</v>
      </c>
      <c r="C3" s="14">
        <v>50</v>
      </c>
      <c r="D3" s="14">
        <v>9</v>
      </c>
      <c r="E3" s="14">
        <v>0.6</v>
      </c>
      <c r="F3" s="14">
        <v>4.5999999999999999E-2</v>
      </c>
      <c r="G3" s="14">
        <v>7.4499999999999997E-2</v>
      </c>
      <c r="H3" s="14">
        <v>1.18</v>
      </c>
      <c r="I3" s="14">
        <v>115</v>
      </c>
      <c r="J3" s="14">
        <f>H3/G3</f>
        <v>15.838926174496644</v>
      </c>
      <c r="K3" s="14">
        <v>101</v>
      </c>
      <c r="L3" s="14">
        <f t="shared" ref="L3:L41" si="5">(2*K3+I3)/2</f>
        <v>158.5</v>
      </c>
      <c r="M3" s="14">
        <f t="shared" ref="M3:M41" si="6">(K3+I3)*1000/(287*293)</f>
        <v>2.5686458717341929</v>
      </c>
      <c r="N3" s="14">
        <f t="shared" ref="N3:O41" si="7">K3*1000/(287*293)</f>
        <v>1.2010797826164512</v>
      </c>
      <c r="O3" s="14">
        <f t="shared" si="7"/>
        <v>1.8848628271753221</v>
      </c>
      <c r="P3" s="14">
        <f t="shared" ref="P3:P41" si="8">(4*G3)/(M3*PI()*0.053^2)</f>
        <v>13.146508244739429</v>
      </c>
      <c r="Q3" s="14">
        <f t="shared" ref="Q3:Q41" si="9">106.52*J3^(-0.722)</f>
        <v>14.495365729329251</v>
      </c>
      <c r="R3" s="14">
        <f t="shared" ref="R3:R41" si="10">4*G3/(N3*PI()*0.053^2)</f>
        <v>28.115304761026902</v>
      </c>
      <c r="S3" s="14">
        <f t="shared" ref="S3:S41" si="11">4*G3/(O3*PI()*0.053^2)</f>
        <v>17.9157462515061</v>
      </c>
      <c r="T3" s="14">
        <f t="shared" si="0"/>
        <v>99430.132162232316</v>
      </c>
      <c r="U3" s="14">
        <f t="shared" ref="U3:U41" si="12">1.325/(LN((F3/1000)/(3.7*A3)+5.74/T3^0.9))^2</f>
        <v>2.1877250712210323E-2</v>
      </c>
      <c r="V3" s="14">
        <f t="shared" si="1"/>
        <v>6.2431883569687692</v>
      </c>
      <c r="W3" s="14">
        <f t="shared" si="2"/>
        <v>27.506017309575391</v>
      </c>
      <c r="X3" s="14">
        <f t="shared" si="3"/>
        <v>1.7975798323671223E-2</v>
      </c>
      <c r="Y3" s="14">
        <f t="shared" si="4"/>
        <v>24.859015782382894</v>
      </c>
      <c r="Z3" s="14">
        <f t="shared" ref="Z3:Z41" si="13">X3*J3^0.5</f>
        <v>7.1540348960587419E-2</v>
      </c>
    </row>
    <row r="4" spans="1:26">
      <c r="A4" s="14">
        <v>5.2999999999999999E-2</v>
      </c>
      <c r="B4" s="14">
        <v>0</v>
      </c>
      <c r="C4" s="14">
        <v>50</v>
      </c>
      <c r="D4" s="14">
        <v>9</v>
      </c>
      <c r="E4" s="14">
        <v>0.6</v>
      </c>
      <c r="F4" s="14">
        <v>4.5999999999999999E-2</v>
      </c>
      <c r="G4" s="14">
        <v>8.2600000000000007E-2</v>
      </c>
      <c r="H4" s="14">
        <v>2.0499999999999998</v>
      </c>
      <c r="I4" s="14">
        <v>195</v>
      </c>
      <c r="J4" s="14">
        <f>H4/G4</f>
        <v>24.818401937046001</v>
      </c>
      <c r="K4" s="14">
        <v>101</v>
      </c>
      <c r="L4" s="14">
        <f t="shared" si="5"/>
        <v>198.5</v>
      </c>
      <c r="M4" s="14">
        <f t="shared" si="6"/>
        <v>3.5199961945987086</v>
      </c>
      <c r="N4" s="14">
        <f t="shared" si="7"/>
        <v>1.2010797826164512</v>
      </c>
      <c r="O4" s="14">
        <f t="shared" si="7"/>
        <v>2.3605379886075797</v>
      </c>
      <c r="P4" s="14">
        <f t="shared" si="8"/>
        <v>10.636438486275305</v>
      </c>
      <c r="Q4" s="14">
        <f t="shared" si="9"/>
        <v>10.481042071012389</v>
      </c>
      <c r="R4" s="14">
        <f t="shared" si="10"/>
        <v>31.172136553836541</v>
      </c>
      <c r="S4" s="14">
        <f t="shared" si="11"/>
        <v>15.860885601700204</v>
      </c>
      <c r="T4" s="14">
        <f t="shared" si="0"/>
        <v>110240.65659866294</v>
      </c>
      <c r="U4" s="14">
        <f t="shared" si="12"/>
        <v>2.1656394219587635E-2</v>
      </c>
      <c r="V4" s="14">
        <f t="shared" si="1"/>
        <v>6.0661919309356103</v>
      </c>
      <c r="W4" s="14">
        <f t="shared" si="2"/>
        <v>41.396057469995135</v>
      </c>
      <c r="X4" s="14">
        <f t="shared" si="3"/>
        <v>2.1222636985551907E-2</v>
      </c>
      <c r="Y4" s="14">
        <f t="shared" si="4"/>
        <v>22.007791356281853</v>
      </c>
      <c r="Z4" s="14">
        <f t="shared" si="13"/>
        <v>0.10572708352042227</v>
      </c>
    </row>
    <row r="5" spans="1:26">
      <c r="A5" s="14">
        <v>5.2999999999999999E-2</v>
      </c>
      <c r="B5" s="14">
        <v>0</v>
      </c>
      <c r="C5" s="14">
        <v>50</v>
      </c>
      <c r="D5" s="14">
        <v>9</v>
      </c>
      <c r="E5" s="14">
        <v>0.6</v>
      </c>
      <c r="F5" s="14">
        <v>4.5999999999999999E-2</v>
      </c>
      <c r="G5" s="14">
        <v>6.6100000000000006E-2</v>
      </c>
      <c r="H5" s="14">
        <v>1.8939999999999999</v>
      </c>
      <c r="I5" s="14">
        <v>155</v>
      </c>
      <c r="J5" s="14">
        <f t="shared" ref="J5:J41" si="14">H5/G5</f>
        <v>28.653555219364595</v>
      </c>
      <c r="K5" s="14">
        <v>101</v>
      </c>
      <c r="L5" s="14">
        <f t="shared" si="5"/>
        <v>178.5</v>
      </c>
      <c r="M5" s="14">
        <f t="shared" si="6"/>
        <v>3.0443210331664505</v>
      </c>
      <c r="N5" s="14">
        <f t="shared" si="7"/>
        <v>1.2010797826164512</v>
      </c>
      <c r="O5" s="14">
        <f t="shared" si="7"/>
        <v>2.1227004078914509</v>
      </c>
      <c r="P5" s="14">
        <f t="shared" si="8"/>
        <v>9.8416834162694897</v>
      </c>
      <c r="Q5" s="14">
        <f t="shared" si="9"/>
        <v>9.4481824203178597</v>
      </c>
      <c r="R5" s="14">
        <f t="shared" si="10"/>
        <v>24.945256975890985</v>
      </c>
      <c r="S5" s="14">
        <f t="shared" si="11"/>
        <v>14.114683218851482</v>
      </c>
      <c r="T5" s="14">
        <f t="shared" si="0"/>
        <v>88219.217931859806</v>
      </c>
      <c r="U5" s="14">
        <f t="shared" si="12"/>
        <v>2.2152713937220556E-2</v>
      </c>
      <c r="V5" s="14">
        <f t="shared" si="1"/>
        <v>4.4189801726109668</v>
      </c>
      <c r="W5" s="14">
        <f t="shared" si="2"/>
        <v>33.858795769645198</v>
      </c>
      <c r="X5" s="14">
        <f t="shared" si="3"/>
        <v>2.0421137305777132E-2</v>
      </c>
      <c r="Y5" s="14">
        <f t="shared" si="4"/>
        <v>19.584846088745383</v>
      </c>
      <c r="Z5" s="14">
        <f t="shared" si="13"/>
        <v>0.10931233794767602</v>
      </c>
    </row>
    <row r="6" spans="1:26">
      <c r="A6" s="14">
        <v>5.2999999999999999E-2</v>
      </c>
      <c r="B6" s="14">
        <v>0</v>
      </c>
      <c r="C6" s="14">
        <v>50</v>
      </c>
      <c r="D6" s="14">
        <v>9</v>
      </c>
      <c r="E6" s="14">
        <v>0.6</v>
      </c>
      <c r="F6" s="14">
        <v>4.5999999999999999E-2</v>
      </c>
      <c r="G6" s="14">
        <v>0.05</v>
      </c>
      <c r="H6" s="14">
        <v>1.59</v>
      </c>
      <c r="I6" s="14">
        <v>120</v>
      </c>
      <c r="J6" s="14">
        <f t="shared" si="14"/>
        <v>31.8</v>
      </c>
      <c r="K6" s="14">
        <v>101</v>
      </c>
      <c r="L6" s="14">
        <f t="shared" si="5"/>
        <v>161</v>
      </c>
      <c r="M6" s="14">
        <f t="shared" si="6"/>
        <v>2.628105266913225</v>
      </c>
      <c r="N6" s="14">
        <f t="shared" si="7"/>
        <v>1.2010797826164512</v>
      </c>
      <c r="O6" s="14">
        <f t="shared" si="7"/>
        <v>1.9145925247648381</v>
      </c>
      <c r="P6" s="14">
        <f t="shared" si="8"/>
        <v>8.6235408936308939</v>
      </c>
      <c r="Q6" s="14">
        <f t="shared" si="9"/>
        <v>8.7635239348079352</v>
      </c>
      <c r="R6" s="14">
        <f t="shared" si="10"/>
        <v>18.869332054380472</v>
      </c>
      <c r="S6" s="14">
        <f t="shared" si="11"/>
        <v>11.837282841567873</v>
      </c>
      <c r="T6" s="14">
        <f t="shared" si="0"/>
        <v>66731.632323645841</v>
      </c>
      <c r="U6" s="14">
        <f t="shared" si="12"/>
        <v>2.2883463271875414E-2</v>
      </c>
      <c r="V6" s="14">
        <f t="shared" si="1"/>
        <v>2.8957849093492927</v>
      </c>
      <c r="W6" s="14">
        <f t="shared" si="2"/>
        <v>23.758445217546242</v>
      </c>
      <c r="X6" s="14">
        <f t="shared" si="3"/>
        <v>2.3196527394132541E-2</v>
      </c>
      <c r="Y6" s="14">
        <f t="shared" si="4"/>
        <v>16.424836389627284</v>
      </c>
      <c r="Z6" s="14">
        <f t="shared" si="13"/>
        <v>0.13080867128774903</v>
      </c>
    </row>
    <row r="7" spans="1:26">
      <c r="A7" s="14">
        <v>5.2999999999999999E-2</v>
      </c>
      <c r="B7" s="14">
        <v>0</v>
      </c>
      <c r="C7" s="14">
        <v>50</v>
      </c>
      <c r="D7" s="14">
        <v>9</v>
      </c>
      <c r="E7" s="14">
        <v>0.6</v>
      </c>
      <c r="F7" s="14">
        <v>4.5999999999999999E-2</v>
      </c>
      <c r="G7" s="14">
        <v>5.8099999999999999E-2</v>
      </c>
      <c r="H7" s="14">
        <v>2.36</v>
      </c>
      <c r="I7" s="14">
        <v>170</v>
      </c>
      <c r="J7" s="14">
        <f t="shared" si="14"/>
        <v>40.619621342512907</v>
      </c>
      <c r="K7" s="14">
        <v>101</v>
      </c>
      <c r="L7" s="14">
        <f t="shared" si="5"/>
        <v>186</v>
      </c>
      <c r="M7" s="14">
        <f t="shared" si="6"/>
        <v>3.2226992187035473</v>
      </c>
      <c r="N7" s="14">
        <f t="shared" si="7"/>
        <v>1.2010797826164512</v>
      </c>
      <c r="O7" s="14">
        <f t="shared" si="7"/>
        <v>2.2118895006599995</v>
      </c>
      <c r="P7" s="14">
        <f t="shared" si="8"/>
        <v>8.1717437216464965</v>
      </c>
      <c r="Q7" s="14">
        <f t="shared" si="9"/>
        <v>7.3438510399474044</v>
      </c>
      <c r="R7" s="14">
        <f t="shared" si="10"/>
        <v>21.926163847190107</v>
      </c>
      <c r="S7" s="14">
        <f t="shared" si="11"/>
        <v>11.906142734226885</v>
      </c>
      <c r="T7" s="14">
        <f t="shared" si="0"/>
        <v>77542.156760076468</v>
      </c>
      <c r="U7" s="14">
        <f t="shared" si="12"/>
        <v>2.2474525542128015E-2</v>
      </c>
      <c r="V7" s="14">
        <f t="shared" si="1"/>
        <v>3.3239942797227866</v>
      </c>
      <c r="W7" s="14">
        <f t="shared" si="2"/>
        <v>35.234449080336304</v>
      </c>
      <c r="X7" s="14">
        <f t="shared" si="3"/>
        <v>2.1878980820194942E-2</v>
      </c>
      <c r="Y7" s="14">
        <f t="shared" si="4"/>
        <v>16.520383018517478</v>
      </c>
      <c r="Z7" s="14">
        <f t="shared" si="13"/>
        <v>0.13944245582609979</v>
      </c>
    </row>
    <row r="8" spans="1:26">
      <c r="A8" s="14">
        <v>5.2999999999999999E-2</v>
      </c>
      <c r="B8" s="14">
        <v>0</v>
      </c>
      <c r="C8" s="14">
        <v>50</v>
      </c>
      <c r="D8" s="14">
        <v>9</v>
      </c>
      <c r="E8" s="14">
        <v>0.6</v>
      </c>
      <c r="F8" s="14">
        <v>4.5999999999999999E-2</v>
      </c>
      <c r="G8" s="14">
        <v>4.6399999999999997E-2</v>
      </c>
      <c r="H8" s="14">
        <v>2.0489999999999999</v>
      </c>
      <c r="I8" s="14">
        <v>140</v>
      </c>
      <c r="J8" s="14">
        <f t="shared" si="14"/>
        <v>44.15948275862069</v>
      </c>
      <c r="K8" s="14">
        <v>101</v>
      </c>
      <c r="L8" s="14">
        <f t="shared" si="5"/>
        <v>171</v>
      </c>
      <c r="M8" s="14">
        <f t="shared" si="6"/>
        <v>2.8659428476293538</v>
      </c>
      <c r="N8" s="14">
        <f t="shared" si="7"/>
        <v>1.2010797826164512</v>
      </c>
      <c r="O8" s="14">
        <f t="shared" si="7"/>
        <v>2.0335113151229027</v>
      </c>
      <c r="P8" s="14">
        <f t="shared" si="8"/>
        <v>7.3385259534978129</v>
      </c>
      <c r="Q8" s="14">
        <f t="shared" si="9"/>
        <v>6.9139119713980923</v>
      </c>
      <c r="R8" s="14">
        <f t="shared" si="10"/>
        <v>17.510740146465075</v>
      </c>
      <c r="S8" s="14">
        <f t="shared" si="11"/>
        <v>10.34260090522206</v>
      </c>
      <c r="T8" s="14">
        <f t="shared" si="0"/>
        <v>61926.954796343329</v>
      </c>
      <c r="U8" s="14">
        <f t="shared" si="12"/>
        <v>2.310150944714506E-2</v>
      </c>
      <c r="V8" s="14">
        <f t="shared" si="1"/>
        <v>2.370339879204943</v>
      </c>
      <c r="W8" s="14">
        <f t="shared" si="2"/>
        <v>26.522768207925115</v>
      </c>
      <c r="X8" s="14">
        <f t="shared" si="3"/>
        <v>2.4521484330735654E-2</v>
      </c>
      <c r="Y8" s="14">
        <f t="shared" si="4"/>
        <v>14.350888627493758</v>
      </c>
      <c r="Z8" s="14">
        <f t="shared" si="13"/>
        <v>0.1629516431906794</v>
      </c>
    </row>
    <row r="9" spans="1:26">
      <c r="A9" s="14">
        <v>5.2999999999999999E-2</v>
      </c>
      <c r="B9" s="14">
        <v>0</v>
      </c>
      <c r="C9" s="14">
        <v>50</v>
      </c>
      <c r="D9" s="14">
        <v>9</v>
      </c>
      <c r="E9" s="14">
        <v>0.6</v>
      </c>
      <c r="F9" s="14">
        <v>4.5999999999999999E-2</v>
      </c>
      <c r="G9" s="14">
        <v>3.5000000000000003E-2</v>
      </c>
      <c r="H9" s="14">
        <v>1.5880000000000001</v>
      </c>
      <c r="I9" s="14">
        <v>110</v>
      </c>
      <c r="J9" s="14">
        <f t="shared" si="14"/>
        <v>45.371428571428567</v>
      </c>
      <c r="K9" s="14">
        <v>101</v>
      </c>
      <c r="L9" s="14">
        <f t="shared" si="5"/>
        <v>156</v>
      </c>
      <c r="M9" s="14">
        <f t="shared" si="6"/>
        <v>2.5091864765551604</v>
      </c>
      <c r="N9" s="14">
        <f t="shared" si="7"/>
        <v>1.2010797826164512</v>
      </c>
      <c r="O9" s="14">
        <f t="shared" si="7"/>
        <v>1.8551331295858058</v>
      </c>
      <c r="P9" s="14">
        <f t="shared" si="8"/>
        <v>6.3225676599274854</v>
      </c>
      <c r="Q9" s="14">
        <f t="shared" si="9"/>
        <v>6.7800707564768112</v>
      </c>
      <c r="R9" s="14">
        <f t="shared" si="10"/>
        <v>13.208532438066332</v>
      </c>
      <c r="S9" s="14">
        <f t="shared" si="11"/>
        <v>8.5516780528506366</v>
      </c>
      <c r="T9" s="14">
        <f t="shared" si="0"/>
        <v>46712.142626552093</v>
      </c>
      <c r="U9" s="14">
        <f t="shared" si="12"/>
        <v>2.4017690447355848E-2</v>
      </c>
      <c r="V9" s="14">
        <f t="shared" si="1"/>
        <v>1.5369974553340853</v>
      </c>
      <c r="W9" s="14">
        <f t="shared" si="2"/>
        <v>16.986034660242101</v>
      </c>
      <c r="X9" s="14">
        <f t="shared" si="3"/>
        <v>3.1505574392394098E-2</v>
      </c>
      <c r="Y9" s="14">
        <f t="shared" si="4"/>
        <v>11.865891417378172</v>
      </c>
      <c r="Z9" s="14">
        <f t="shared" si="13"/>
        <v>0.21221624644000342</v>
      </c>
    </row>
    <row r="10" spans="1:26">
      <c r="A10" s="14">
        <v>5.2999999999999999E-2</v>
      </c>
      <c r="B10" s="14">
        <v>0</v>
      </c>
      <c r="C10" s="14">
        <v>50</v>
      </c>
      <c r="D10" s="14">
        <v>9</v>
      </c>
      <c r="E10" s="14">
        <v>0.6</v>
      </c>
      <c r="F10" s="14">
        <v>4.5999999999999999E-2</v>
      </c>
      <c r="G10" s="14">
        <v>4.7800000000000002E-2</v>
      </c>
      <c r="H10" s="14">
        <v>2.39</v>
      </c>
      <c r="I10" s="14">
        <v>160</v>
      </c>
      <c r="J10" s="14">
        <f t="shared" si="14"/>
        <v>50</v>
      </c>
      <c r="K10" s="14">
        <v>101</v>
      </c>
      <c r="L10" s="14">
        <f t="shared" si="5"/>
        <v>181</v>
      </c>
      <c r="M10" s="14">
        <f t="shared" si="6"/>
        <v>3.1037804283454831</v>
      </c>
      <c r="N10" s="14">
        <f t="shared" si="7"/>
        <v>1.2010797826164512</v>
      </c>
      <c r="O10" s="14">
        <f t="shared" si="7"/>
        <v>2.1524301054809669</v>
      </c>
      <c r="P10" s="14">
        <f t="shared" si="8"/>
        <v>6.9806407120412279</v>
      </c>
      <c r="Q10" s="14">
        <f t="shared" si="9"/>
        <v>6.3208402547764777</v>
      </c>
      <c r="R10" s="14">
        <f t="shared" si="10"/>
        <v>18.03908144398773</v>
      </c>
      <c r="S10" s="14">
        <f t="shared" si="11"/>
        <v>10.066006772611939</v>
      </c>
      <c r="T10" s="14">
        <f t="shared" si="0"/>
        <v>63795.440501405435</v>
      </c>
      <c r="U10" s="14">
        <f t="shared" si="12"/>
        <v>2.301357825993687E-2</v>
      </c>
      <c r="V10" s="14">
        <f t="shared" si="1"/>
        <v>2.3675097894897528</v>
      </c>
      <c r="W10" s="14">
        <f t="shared" si="2"/>
        <v>30.031528342994076</v>
      </c>
      <c r="X10" s="14">
        <f t="shared" si="3"/>
        <v>2.4807117884097046E-2</v>
      </c>
      <c r="Y10" s="14">
        <f t="shared" si="4"/>
        <v>13.967100098043499</v>
      </c>
      <c r="Z10" s="14">
        <f t="shared" si="13"/>
        <v>0.175412812775391</v>
      </c>
    </row>
    <row r="11" spans="1:26">
      <c r="A11" s="14">
        <v>5.2999999999999999E-2</v>
      </c>
      <c r="B11" s="14">
        <v>0</v>
      </c>
      <c r="C11" s="14">
        <v>50</v>
      </c>
      <c r="D11" s="14">
        <v>9</v>
      </c>
      <c r="E11" s="14">
        <v>0.6</v>
      </c>
      <c r="F11" s="14">
        <v>4.5999999999999999E-2</v>
      </c>
      <c r="G11" s="14">
        <v>3.8199999999999998E-2</v>
      </c>
      <c r="H11" s="14">
        <v>2.177</v>
      </c>
      <c r="I11" s="14">
        <v>135</v>
      </c>
      <c r="J11" s="14">
        <f t="shared" si="14"/>
        <v>56.989528795811523</v>
      </c>
      <c r="K11" s="14">
        <v>101</v>
      </c>
      <c r="L11" s="14">
        <f t="shared" si="5"/>
        <v>168.5</v>
      </c>
      <c r="M11" s="14">
        <f t="shared" si="6"/>
        <v>2.8064834524503217</v>
      </c>
      <c r="N11" s="14">
        <f t="shared" si="7"/>
        <v>1.2010797826164512</v>
      </c>
      <c r="O11" s="14">
        <f t="shared" si="7"/>
        <v>2.0037816175333862</v>
      </c>
      <c r="P11" s="14">
        <f t="shared" si="8"/>
        <v>6.1696319434076878</v>
      </c>
      <c r="Q11" s="14">
        <f t="shared" si="9"/>
        <v>5.7510496904362958</v>
      </c>
      <c r="R11" s="14">
        <f t="shared" si="10"/>
        <v>14.416169689546679</v>
      </c>
      <c r="S11" s="14">
        <f t="shared" si="11"/>
        <v>8.6411462234078016</v>
      </c>
      <c r="T11" s="14">
        <f t="shared" si="0"/>
        <v>50982.96709526542</v>
      </c>
      <c r="U11" s="14">
        <f t="shared" si="12"/>
        <v>2.3717001914388212E-2</v>
      </c>
      <c r="V11" s="14">
        <f t="shared" si="1"/>
        <v>1.6738518794683792</v>
      </c>
      <c r="W11" s="14">
        <f t="shared" si="2"/>
        <v>23.42644779575205</v>
      </c>
      <c r="X11" s="14">
        <f t="shared" si="3"/>
        <v>2.7323995580541174E-2</v>
      </c>
      <c r="Y11" s="14">
        <f t="shared" si="4"/>
        <v>11.990033087654091</v>
      </c>
      <c r="Z11" s="14">
        <f t="shared" si="13"/>
        <v>0.20627269343500526</v>
      </c>
    </row>
    <row r="12" spans="1:26">
      <c r="A12" s="14">
        <v>5.2999999999999999E-2</v>
      </c>
      <c r="B12" s="14">
        <v>0</v>
      </c>
      <c r="C12" s="14">
        <v>50</v>
      </c>
      <c r="D12" s="14">
        <v>9</v>
      </c>
      <c r="E12" s="14">
        <v>0.6</v>
      </c>
      <c r="F12" s="14">
        <v>4.5999999999999999E-2</v>
      </c>
      <c r="G12" s="14">
        <v>2.8500000000000001E-2</v>
      </c>
      <c r="H12" s="14">
        <v>1.6220000000000001</v>
      </c>
      <c r="I12" s="14">
        <v>110</v>
      </c>
      <c r="J12" s="14">
        <f t="shared" si="14"/>
        <v>56.912280701754391</v>
      </c>
      <c r="K12" s="14">
        <v>101</v>
      </c>
      <c r="L12" s="14">
        <f t="shared" si="5"/>
        <v>156</v>
      </c>
      <c r="M12" s="14">
        <f t="shared" si="6"/>
        <v>2.5091864765551604</v>
      </c>
      <c r="N12" s="14">
        <f t="shared" si="7"/>
        <v>1.2010797826164512</v>
      </c>
      <c r="O12" s="14">
        <f t="shared" si="7"/>
        <v>1.8551331295858058</v>
      </c>
      <c r="P12" s="14">
        <f t="shared" si="8"/>
        <v>5.148376523083809</v>
      </c>
      <c r="Q12" s="14">
        <f t="shared" si="9"/>
        <v>5.756684564354849</v>
      </c>
      <c r="R12" s="14">
        <f t="shared" si="10"/>
        <v>10.755519270996869</v>
      </c>
      <c r="S12" s="14">
        <f t="shared" si="11"/>
        <v>6.9635092716069469</v>
      </c>
      <c r="T12" s="14">
        <f t="shared" si="0"/>
        <v>38037.030424478136</v>
      </c>
      <c r="U12" s="14">
        <f t="shared" si="12"/>
        <v>2.4785768018762953E-2</v>
      </c>
      <c r="V12" s="14">
        <f t="shared" si="1"/>
        <v>1.0517146349430653</v>
      </c>
      <c r="W12" s="14">
        <f t="shared" si="2"/>
        <v>14.065845099758709</v>
      </c>
      <c r="X12" s="14">
        <f t="shared" si="3"/>
        <v>3.9290207204751224E-2</v>
      </c>
      <c r="Y12" s="14">
        <f t="shared" si="4"/>
        <v>9.6622258684365114</v>
      </c>
      <c r="Z12" s="14">
        <f t="shared" si="13"/>
        <v>0.29640622077875978</v>
      </c>
    </row>
    <row r="13" spans="1:26">
      <c r="A13" s="14">
        <v>5.2999999999999999E-2</v>
      </c>
      <c r="B13" s="14">
        <v>0</v>
      </c>
      <c r="C13" s="14">
        <v>50</v>
      </c>
      <c r="D13" s="14">
        <v>9</v>
      </c>
      <c r="E13" s="14">
        <v>0.6</v>
      </c>
      <c r="F13" s="14">
        <v>4.5999999999999999E-2</v>
      </c>
      <c r="G13" s="14">
        <v>9.2899999999999996E-2</v>
      </c>
      <c r="H13" s="14">
        <v>2.56</v>
      </c>
      <c r="I13" s="14">
        <v>235</v>
      </c>
      <c r="J13" s="14">
        <f t="shared" si="14"/>
        <v>27.556512378902045</v>
      </c>
      <c r="K13" s="14">
        <v>101</v>
      </c>
      <c r="L13" s="14">
        <f t="shared" si="5"/>
        <v>218.5</v>
      </c>
      <c r="M13" s="14">
        <f t="shared" si="6"/>
        <v>3.9956713560309662</v>
      </c>
      <c r="N13" s="14">
        <f t="shared" si="7"/>
        <v>1.2010797826164512</v>
      </c>
      <c r="O13" s="14">
        <f t="shared" si="7"/>
        <v>2.5983755693237089</v>
      </c>
      <c r="P13" s="14">
        <f t="shared" si="8"/>
        <v>10.538634269824197</v>
      </c>
      <c r="Q13" s="14">
        <f t="shared" si="9"/>
        <v>9.7182764342682404</v>
      </c>
      <c r="R13" s="14">
        <f t="shared" si="10"/>
        <v>35.059218957038915</v>
      </c>
      <c r="S13" s="14">
        <f t="shared" si="11"/>
        <v>16.205863224992815</v>
      </c>
      <c r="T13" s="14">
        <f t="shared" si="0"/>
        <v>123987.37285733396</v>
      </c>
      <c r="U13" s="14">
        <f t="shared" si="12"/>
        <v>2.1422848058885571E-2</v>
      </c>
      <c r="V13" s="14">
        <f t="shared" si="1"/>
        <v>6.8958468756640281</v>
      </c>
      <c r="W13" s="14">
        <f t="shared" si="2"/>
        <v>52.615680603663357</v>
      </c>
      <c r="X13" s="14">
        <f t="shared" si="3"/>
        <v>1.9783992594922046E-2</v>
      </c>
      <c r="Y13" s="14">
        <f t="shared" si="4"/>
        <v>22.486465482472887</v>
      </c>
      <c r="Z13" s="14">
        <f t="shared" si="13"/>
        <v>0.10385467869613954</v>
      </c>
    </row>
    <row r="14" spans="1:26">
      <c r="A14" s="14">
        <v>5.2999999999999999E-2</v>
      </c>
      <c r="B14" s="14">
        <v>0</v>
      </c>
      <c r="C14" s="14">
        <v>50</v>
      </c>
      <c r="D14" s="14">
        <v>9</v>
      </c>
      <c r="E14" s="14">
        <v>0.6</v>
      </c>
      <c r="F14" s="14">
        <v>4.5999999999999999E-2</v>
      </c>
      <c r="G14" s="14">
        <v>7.4300000000000005E-2</v>
      </c>
      <c r="H14" s="14">
        <v>2.4300000000000002</v>
      </c>
      <c r="I14" s="14">
        <v>190</v>
      </c>
      <c r="J14" s="14">
        <f t="shared" si="14"/>
        <v>32.705248990578738</v>
      </c>
      <c r="K14" s="14">
        <v>101</v>
      </c>
      <c r="L14" s="14">
        <f t="shared" si="5"/>
        <v>196</v>
      </c>
      <c r="M14" s="14">
        <f t="shared" si="6"/>
        <v>3.4605367994196765</v>
      </c>
      <c r="N14" s="14">
        <f t="shared" si="7"/>
        <v>1.2010797826164512</v>
      </c>
      <c r="O14" s="14">
        <f t="shared" si="7"/>
        <v>2.3308082910180636</v>
      </c>
      <c r="P14" s="14">
        <f t="shared" si="8"/>
        <v>9.7320363254767948</v>
      </c>
      <c r="Q14" s="14">
        <f t="shared" si="9"/>
        <v>8.5877096346679522</v>
      </c>
      <c r="R14" s="14">
        <f t="shared" si="10"/>
        <v>28.039827432809382</v>
      </c>
      <c r="S14" s="14">
        <f t="shared" si="11"/>
        <v>14.449094748539528</v>
      </c>
      <c r="T14" s="14">
        <f t="shared" si="0"/>
        <v>99163.205632937723</v>
      </c>
      <c r="U14" s="14">
        <f t="shared" si="12"/>
        <v>2.1883207042111046E-2</v>
      </c>
      <c r="V14" s="14">
        <f t="shared" si="1"/>
        <v>5.0229972515347336</v>
      </c>
      <c r="W14" s="14">
        <f t="shared" si="2"/>
        <v>44.28423390718671</v>
      </c>
      <c r="X14" s="14">
        <f t="shared" si="3"/>
        <v>1.8741413622259642E-2</v>
      </c>
      <c r="Y14" s="14">
        <f t="shared" si="4"/>
        <v>20.04885921873862</v>
      </c>
      <c r="Z14" s="14">
        <f t="shared" si="13"/>
        <v>0.10717933930404441</v>
      </c>
    </row>
    <row r="15" spans="1:26">
      <c r="A15" s="14">
        <v>5.2999999999999999E-2</v>
      </c>
      <c r="B15" s="14">
        <v>0</v>
      </c>
      <c r="C15" s="14">
        <v>50</v>
      </c>
      <c r="D15" s="14">
        <v>9</v>
      </c>
      <c r="E15" s="14">
        <v>0.6</v>
      </c>
      <c r="F15" s="14">
        <v>4.5999999999999999E-2</v>
      </c>
      <c r="G15" s="14">
        <v>5.6000000000000001E-2</v>
      </c>
      <c r="H15" s="14">
        <v>1.95</v>
      </c>
      <c r="I15" s="14">
        <v>150</v>
      </c>
      <c r="J15" s="14">
        <f t="shared" si="14"/>
        <v>34.821428571428569</v>
      </c>
      <c r="K15" s="14">
        <v>101</v>
      </c>
      <c r="L15" s="14">
        <f t="shared" si="5"/>
        <v>176</v>
      </c>
      <c r="M15" s="14">
        <f t="shared" si="6"/>
        <v>2.9848616379874184</v>
      </c>
      <c r="N15" s="14">
        <f t="shared" si="7"/>
        <v>1.2010797826164512</v>
      </c>
      <c r="O15" s="14">
        <f t="shared" si="7"/>
        <v>2.0929707103019348</v>
      </c>
      <c r="P15" s="14">
        <f t="shared" si="8"/>
        <v>8.5039794501654136</v>
      </c>
      <c r="Q15" s="14">
        <f t="shared" si="9"/>
        <v>8.2076329037953428</v>
      </c>
      <c r="R15" s="14">
        <f t="shared" si="10"/>
        <v>21.133651900906127</v>
      </c>
      <c r="S15" s="14">
        <f t="shared" si="11"/>
        <v>12.127834329497267</v>
      </c>
      <c r="T15" s="14">
        <f t="shared" si="0"/>
        <v>74739.428202483352</v>
      </c>
      <c r="U15" s="14">
        <f t="shared" si="12"/>
        <v>2.2571285859138302E-2</v>
      </c>
      <c r="V15" s="14">
        <f t="shared" si="1"/>
        <v>3.2775558604061823</v>
      </c>
      <c r="W15" s="14">
        <f t="shared" si="2"/>
        <v>29.77394131203453</v>
      </c>
      <c r="X15" s="14">
        <f t="shared" si="3"/>
        <v>2.3128862846323008E-2</v>
      </c>
      <c r="Y15" s="14">
        <f t="shared" si="4"/>
        <v>16.827991464645407</v>
      </c>
      <c r="Z15" s="14">
        <f t="shared" si="13"/>
        <v>0.13648268979067329</v>
      </c>
    </row>
    <row r="16" spans="1:26">
      <c r="A16" s="14">
        <v>5.2999999999999999E-2</v>
      </c>
      <c r="B16" s="14">
        <v>0</v>
      </c>
      <c r="C16" s="14">
        <v>50</v>
      </c>
      <c r="D16" s="14">
        <v>9</v>
      </c>
      <c r="E16" s="14">
        <v>0.6</v>
      </c>
      <c r="F16" s="14">
        <v>4.5999999999999999E-2</v>
      </c>
      <c r="G16" s="14">
        <v>0.11700000000000001</v>
      </c>
      <c r="H16" s="14">
        <v>3.59</v>
      </c>
      <c r="I16" s="14">
        <v>320</v>
      </c>
      <c r="J16" s="14">
        <f t="shared" si="14"/>
        <v>30.683760683760681</v>
      </c>
      <c r="K16" s="14">
        <v>101</v>
      </c>
      <c r="L16" s="14">
        <f t="shared" si="5"/>
        <v>261</v>
      </c>
      <c r="M16" s="14">
        <f t="shared" si="6"/>
        <v>5.0064810740745145</v>
      </c>
      <c r="N16" s="14">
        <f t="shared" si="7"/>
        <v>1.2010797826164512</v>
      </c>
      <c r="O16" s="14">
        <f t="shared" si="7"/>
        <v>3.1037804283454831</v>
      </c>
      <c r="P16" s="14">
        <f t="shared" si="8"/>
        <v>10.592821704827271</v>
      </c>
      <c r="Q16" s="14">
        <f t="shared" si="9"/>
        <v>8.9925561462143726</v>
      </c>
      <c r="R16" s="14">
        <f t="shared" si="10"/>
        <v>44.154237007250302</v>
      </c>
      <c r="S16" s="14">
        <f t="shared" si="11"/>
        <v>17.086505508552797</v>
      </c>
      <c r="T16" s="14">
        <f t="shared" si="0"/>
        <v>156152.01963733128</v>
      </c>
      <c r="U16" s="14">
        <f t="shared" si="12"/>
        <v>2.1015828411479327E-2</v>
      </c>
      <c r="V16" s="14">
        <f t="shared" si="1"/>
        <v>8.982725844278324</v>
      </c>
      <c r="W16" s="14">
        <f t="shared" si="2"/>
        <v>77.517182754449991</v>
      </c>
      <c r="X16" s="14">
        <f t="shared" si="3"/>
        <v>1.7803969306157547E-2</v>
      </c>
      <c r="Y16" s="14">
        <f t="shared" si="4"/>
        <v>23.70840176792407</v>
      </c>
      <c r="Z16" s="14">
        <f t="shared" si="13"/>
        <v>9.8621392495894009E-2</v>
      </c>
    </row>
    <row r="17" spans="1:26">
      <c r="A17" s="14">
        <v>5.2999999999999999E-2</v>
      </c>
      <c r="B17" s="14">
        <v>0</v>
      </c>
      <c r="C17" s="14">
        <v>50</v>
      </c>
      <c r="D17" s="14">
        <v>9</v>
      </c>
      <c r="E17" s="14">
        <v>0.6</v>
      </c>
      <c r="F17" s="14">
        <v>4.5999999999999999E-2</v>
      </c>
      <c r="G17" s="14">
        <v>8.5800000000000001E-2</v>
      </c>
      <c r="H17" s="14">
        <v>3.3290000000000002</v>
      </c>
      <c r="I17" s="14">
        <v>260</v>
      </c>
      <c r="J17" s="14">
        <f t="shared" si="14"/>
        <v>38.799533799533798</v>
      </c>
      <c r="K17" s="14">
        <v>101</v>
      </c>
      <c r="L17" s="14">
        <f t="shared" si="5"/>
        <v>231</v>
      </c>
      <c r="M17" s="14">
        <f t="shared" si="6"/>
        <v>4.2929683319261276</v>
      </c>
      <c r="N17" s="14">
        <f t="shared" si="7"/>
        <v>1.2010797826164512</v>
      </c>
      <c r="O17" s="14">
        <f t="shared" si="7"/>
        <v>2.7470240572712896</v>
      </c>
      <c r="P17" s="14">
        <f t="shared" si="8"/>
        <v>9.059161092346276</v>
      </c>
      <c r="Q17" s="14">
        <f t="shared" si="9"/>
        <v>7.5909900031950555</v>
      </c>
      <c r="R17" s="14">
        <f t="shared" si="10"/>
        <v>32.379773805316887</v>
      </c>
      <c r="S17" s="14">
        <f t="shared" si="11"/>
        <v>14.157390278515175</v>
      </c>
      <c r="T17" s="14">
        <f t="shared" si="0"/>
        <v>114511.48106737628</v>
      </c>
      <c r="U17" s="14">
        <f t="shared" si="12"/>
        <v>2.1578816382260228E-2</v>
      </c>
      <c r="V17" s="14">
        <f t="shared" si="1"/>
        <v>5.6042903890928581</v>
      </c>
      <c r="W17" s="14">
        <f t="shared" si="2"/>
        <v>59.165783609595586</v>
      </c>
      <c r="X17" s="14">
        <f t="shared" si="3"/>
        <v>1.9374337976268318E-2</v>
      </c>
      <c r="Y17" s="14">
        <f t="shared" si="4"/>
        <v>19.644104321994231</v>
      </c>
      <c r="Z17" s="14">
        <f t="shared" si="13"/>
        <v>0.12068134039278629</v>
      </c>
    </row>
    <row r="18" spans="1:26">
      <c r="A18" s="14">
        <v>5.2999999999999999E-2</v>
      </c>
      <c r="B18" s="14">
        <v>0</v>
      </c>
      <c r="C18" s="14">
        <v>50</v>
      </c>
      <c r="D18" s="14">
        <v>9</v>
      </c>
      <c r="E18" s="14">
        <v>0.6</v>
      </c>
      <c r="F18" s="14">
        <v>4.5999999999999999E-2</v>
      </c>
      <c r="G18" s="14">
        <v>8.2199999999999995E-2</v>
      </c>
      <c r="H18" s="14">
        <v>3.073</v>
      </c>
      <c r="I18" s="14">
        <v>260</v>
      </c>
      <c r="J18" s="14">
        <f t="shared" si="14"/>
        <v>37.384428223844282</v>
      </c>
      <c r="K18" s="14">
        <v>101</v>
      </c>
      <c r="L18" s="14">
        <f t="shared" si="5"/>
        <v>231</v>
      </c>
      <c r="M18" s="14">
        <f t="shared" si="6"/>
        <v>4.2929683319261276</v>
      </c>
      <c r="N18" s="14">
        <f t="shared" si="7"/>
        <v>1.2010797826164512</v>
      </c>
      <c r="O18" s="14">
        <f t="shared" si="7"/>
        <v>2.7470240572712896</v>
      </c>
      <c r="P18" s="14">
        <f t="shared" si="8"/>
        <v>8.6790564311289486</v>
      </c>
      <c r="Q18" s="14">
        <f t="shared" si="9"/>
        <v>7.7973753632341074</v>
      </c>
      <c r="R18" s="14">
        <f t="shared" si="10"/>
        <v>31.021181897401494</v>
      </c>
      <c r="S18" s="14">
        <f t="shared" si="11"/>
        <v>13.563373903192858</v>
      </c>
      <c r="T18" s="14">
        <f t="shared" si="0"/>
        <v>109706.80354007377</v>
      </c>
      <c r="U18" s="14">
        <f t="shared" si="12"/>
        <v>2.166644537991377E-2</v>
      </c>
      <c r="V18" s="14">
        <f t="shared" si="1"/>
        <v>5.1647551403685217</v>
      </c>
      <c r="W18" s="14">
        <f t="shared" si="2"/>
        <v>52.374123869205398</v>
      </c>
      <c r="X18" s="14">
        <f t="shared" si="3"/>
        <v>2.2718979737121166E-2</v>
      </c>
      <c r="Y18" s="14">
        <f t="shared" si="4"/>
        <v>18.819876168623839</v>
      </c>
      <c r="Z18" s="14">
        <f t="shared" si="13"/>
        <v>0.13891021885745558</v>
      </c>
    </row>
    <row r="19" spans="1:26">
      <c r="A19" s="14">
        <v>5.2999999999999999E-2</v>
      </c>
      <c r="B19" s="14">
        <v>0</v>
      </c>
      <c r="C19" s="14">
        <v>50</v>
      </c>
      <c r="D19" s="14">
        <v>9</v>
      </c>
      <c r="E19" s="14">
        <v>0.6</v>
      </c>
      <c r="F19" s="14">
        <v>4.5999999999999999E-2</v>
      </c>
      <c r="G19" s="14">
        <v>6.4699999999999994E-2</v>
      </c>
      <c r="H19" s="14">
        <v>3.073</v>
      </c>
      <c r="I19" s="14">
        <v>220</v>
      </c>
      <c r="J19" s="14">
        <f t="shared" si="14"/>
        <v>47.496136012364765</v>
      </c>
      <c r="K19" s="14">
        <v>101</v>
      </c>
      <c r="L19" s="14">
        <f t="shared" si="5"/>
        <v>211</v>
      </c>
      <c r="M19" s="14">
        <f t="shared" si="6"/>
        <v>3.81729317049387</v>
      </c>
      <c r="N19" s="14">
        <f t="shared" si="7"/>
        <v>1.2010797826164512</v>
      </c>
      <c r="O19" s="14">
        <f t="shared" si="7"/>
        <v>2.5091864765551604</v>
      </c>
      <c r="P19" s="14">
        <f t="shared" si="8"/>
        <v>7.6825809455302201</v>
      </c>
      <c r="Q19" s="14">
        <f t="shared" si="9"/>
        <v>6.5596985199515654</v>
      </c>
      <c r="R19" s="14">
        <f t="shared" si="10"/>
        <v>24.416915678368326</v>
      </c>
      <c r="S19" s="14">
        <f t="shared" si="11"/>
        <v>11.687717931351663</v>
      </c>
      <c r="T19" s="14">
        <f t="shared" si="0"/>
        <v>86350.732226797714</v>
      </c>
      <c r="U19" s="14">
        <f t="shared" si="12"/>
        <v>2.2204299730022307E-2</v>
      </c>
      <c r="V19" s="14">
        <f t="shared" si="1"/>
        <v>3.5899930035263257</v>
      </c>
      <c r="W19" s="14">
        <f t="shared" si="2"/>
        <v>44.881078361057867</v>
      </c>
      <c r="X19" s="14">
        <f t="shared" si="3"/>
        <v>2.2336883256712639E-2</v>
      </c>
      <c r="Y19" s="14">
        <f t="shared" si="4"/>
        <v>16.217307414201944</v>
      </c>
      <c r="Z19" s="14">
        <f t="shared" si="13"/>
        <v>0.1539400822178528</v>
      </c>
    </row>
    <row r="20" spans="1:26">
      <c r="A20" s="14">
        <v>5.2999999999999999E-2</v>
      </c>
      <c r="B20" s="14">
        <v>0</v>
      </c>
      <c r="C20" s="14">
        <v>50</v>
      </c>
      <c r="D20" s="14">
        <v>9</v>
      </c>
      <c r="E20" s="14">
        <v>0.6</v>
      </c>
      <c r="F20" s="14">
        <v>4.5999999999999999E-2</v>
      </c>
      <c r="G20" s="14">
        <v>4.9500000000000002E-2</v>
      </c>
      <c r="H20" s="14">
        <v>2.62</v>
      </c>
      <c r="I20" s="14">
        <v>170</v>
      </c>
      <c r="J20" s="14">
        <f t="shared" si="14"/>
        <v>52.929292929292927</v>
      </c>
      <c r="K20" s="14">
        <v>101</v>
      </c>
      <c r="L20" s="14">
        <f t="shared" si="5"/>
        <v>186</v>
      </c>
      <c r="M20" s="14">
        <f t="shared" si="6"/>
        <v>3.2226992187035473</v>
      </c>
      <c r="N20" s="14">
        <f t="shared" si="7"/>
        <v>1.2010797826164512</v>
      </c>
      <c r="O20" s="14">
        <f t="shared" si="7"/>
        <v>2.2118895006599995</v>
      </c>
      <c r="P20" s="14">
        <f t="shared" si="8"/>
        <v>6.9621568712822999</v>
      </c>
      <c r="Q20" s="14">
        <f t="shared" si="9"/>
        <v>6.0662817737911476</v>
      </c>
      <c r="R20" s="14">
        <f t="shared" si="10"/>
        <v>18.680638733836666</v>
      </c>
      <c r="S20" s="14">
        <f t="shared" si="11"/>
        <v>10.143787699556468</v>
      </c>
      <c r="T20" s="14">
        <f t="shared" si="0"/>
        <v>66064.316000409381</v>
      </c>
      <c r="U20" s="14">
        <f t="shared" si="12"/>
        <v>2.2912215611302394E-2</v>
      </c>
      <c r="V20" s="14">
        <f t="shared" si="1"/>
        <v>2.4597725812016109</v>
      </c>
      <c r="W20" s="14">
        <f t="shared" si="2"/>
        <v>33.139978323886446</v>
      </c>
      <c r="X20" s="14">
        <f t="shared" si="3"/>
        <v>2.3652448883071317E-2</v>
      </c>
      <c r="Y20" s="14">
        <f t="shared" si="4"/>
        <v>14.075025119046733</v>
      </c>
      <c r="Z20" s="14">
        <f t="shared" si="13"/>
        <v>0.17207752809905486</v>
      </c>
    </row>
    <row r="21" spans="1:26">
      <c r="A21" s="14">
        <v>5.2999999999999999E-2</v>
      </c>
      <c r="B21" s="14">
        <v>0</v>
      </c>
      <c r="C21" s="14">
        <v>50</v>
      </c>
      <c r="D21" s="14">
        <v>9</v>
      </c>
      <c r="E21" s="14">
        <v>0.6</v>
      </c>
      <c r="F21" s="14">
        <v>4.5999999999999999E-2</v>
      </c>
      <c r="G21" s="14">
        <v>8.2600000000000007E-2</v>
      </c>
      <c r="H21" s="14">
        <v>3.8410000000000002</v>
      </c>
      <c r="I21" s="14">
        <v>290</v>
      </c>
      <c r="J21" s="14">
        <f t="shared" si="14"/>
        <v>46.501210653753027</v>
      </c>
      <c r="K21" s="14">
        <v>101</v>
      </c>
      <c r="L21" s="14">
        <f t="shared" si="5"/>
        <v>246</v>
      </c>
      <c r="M21" s="14">
        <f t="shared" si="6"/>
        <v>4.649724703000321</v>
      </c>
      <c r="N21" s="14">
        <f t="shared" si="7"/>
        <v>1.2010797826164512</v>
      </c>
      <c r="O21" s="14">
        <f t="shared" si="7"/>
        <v>2.9254022428083863</v>
      </c>
      <c r="P21" s="14">
        <f t="shared" si="8"/>
        <v>8.0521375752877002</v>
      </c>
      <c r="Q21" s="14">
        <f t="shared" si="9"/>
        <v>6.6607320359538136</v>
      </c>
      <c r="R21" s="14">
        <f t="shared" si="10"/>
        <v>31.172136553836541</v>
      </c>
      <c r="S21" s="14">
        <f t="shared" si="11"/>
        <v>12.798316227388172</v>
      </c>
      <c r="T21" s="14">
        <f t="shared" si="0"/>
        <v>110240.65659866294</v>
      </c>
      <c r="U21" s="14">
        <f t="shared" si="12"/>
        <v>2.1656394219587635E-2</v>
      </c>
      <c r="V21" s="14">
        <f t="shared" si="1"/>
        <v>4.8948743832956056</v>
      </c>
      <c r="W21" s="14">
        <f t="shared" si="2"/>
        <v>61.455351384547363</v>
      </c>
      <c r="X21" s="14">
        <f t="shared" si="3"/>
        <v>2.1278881777504796E-2</v>
      </c>
      <c r="Y21" s="14">
        <f t="shared" si="4"/>
        <v>17.758319448056699</v>
      </c>
      <c r="Z21" s="14">
        <f t="shared" si="13"/>
        <v>0.14510451689727233</v>
      </c>
    </row>
    <row r="22" spans="1:26">
      <c r="A22" s="14">
        <v>5.2999999999999999E-2</v>
      </c>
      <c r="B22" s="14">
        <v>0</v>
      </c>
      <c r="C22" s="14">
        <v>50</v>
      </c>
      <c r="D22" s="14">
        <v>9</v>
      </c>
      <c r="E22" s="14">
        <v>0.6</v>
      </c>
      <c r="F22" s="14">
        <v>4.5999999999999999E-2</v>
      </c>
      <c r="G22" s="14">
        <v>6.6100000000000006E-2</v>
      </c>
      <c r="H22" s="14">
        <v>3.585</v>
      </c>
      <c r="I22" s="14">
        <v>240</v>
      </c>
      <c r="J22" s="14">
        <f t="shared" si="14"/>
        <v>54.236006051437208</v>
      </c>
      <c r="K22" s="14">
        <v>101</v>
      </c>
      <c r="L22" s="14">
        <f t="shared" si="5"/>
        <v>221</v>
      </c>
      <c r="M22" s="14">
        <f t="shared" si="6"/>
        <v>4.0551307512099983</v>
      </c>
      <c r="N22" s="14">
        <f t="shared" si="7"/>
        <v>1.2010797826164512</v>
      </c>
      <c r="O22" s="14">
        <f t="shared" si="7"/>
        <v>2.628105266913225</v>
      </c>
      <c r="P22" s="14">
        <f t="shared" si="8"/>
        <v>7.3884778726246036</v>
      </c>
      <c r="Q22" s="14">
        <f t="shared" si="9"/>
        <v>5.9604004384913489</v>
      </c>
      <c r="R22" s="14">
        <f t="shared" si="10"/>
        <v>24.945256975890985</v>
      </c>
      <c r="S22" s="14">
        <f t="shared" si="11"/>
        <v>11.400321061380042</v>
      </c>
      <c r="T22" s="14">
        <f t="shared" si="0"/>
        <v>88219.217931859821</v>
      </c>
      <c r="U22" s="14">
        <f t="shared" si="12"/>
        <v>2.2152713937220556E-2</v>
      </c>
      <c r="V22" s="14">
        <f t="shared" si="1"/>
        <v>3.5691762932627031</v>
      </c>
      <c r="W22" s="14">
        <f t="shared" si="2"/>
        <v>50.940470735904043</v>
      </c>
      <c r="X22" s="14">
        <f t="shared" si="3"/>
        <v>2.12271929136762E-2</v>
      </c>
      <c r="Y22" s="14">
        <f t="shared" si="4"/>
        <v>15.818529533217424</v>
      </c>
      <c r="Z22" s="14">
        <f t="shared" si="13"/>
        <v>0.15632787233926404</v>
      </c>
    </row>
    <row r="23" spans="1:26">
      <c r="A23" s="14">
        <v>5.2999999999999999E-2</v>
      </c>
      <c r="B23" s="14">
        <v>0</v>
      </c>
      <c r="C23" s="14">
        <v>50</v>
      </c>
      <c r="D23" s="14">
        <v>9</v>
      </c>
      <c r="E23" s="14">
        <v>0.6</v>
      </c>
      <c r="F23" s="14">
        <v>4.5999999999999999E-2</v>
      </c>
      <c r="G23" s="14">
        <v>8.2900000000000001E-2</v>
      </c>
      <c r="H23" s="14">
        <v>4.609</v>
      </c>
      <c r="I23" s="14">
        <v>300</v>
      </c>
      <c r="J23" s="14">
        <f t="shared" si="14"/>
        <v>55.597104945717732</v>
      </c>
      <c r="K23" s="14">
        <v>101</v>
      </c>
      <c r="L23" s="14">
        <f t="shared" si="5"/>
        <v>251</v>
      </c>
      <c r="M23" s="14">
        <f t="shared" si="6"/>
        <v>4.7686434933583852</v>
      </c>
      <c r="N23" s="14">
        <f t="shared" si="7"/>
        <v>1.2010797826164512</v>
      </c>
      <c r="O23" s="14">
        <f t="shared" si="7"/>
        <v>2.9848616379874184</v>
      </c>
      <c r="P23" s="14">
        <f t="shared" si="8"/>
        <v>7.8798518881856481</v>
      </c>
      <c r="Q23" s="14">
        <f t="shared" si="9"/>
        <v>5.8546843515111275</v>
      </c>
      <c r="R23" s="14">
        <f t="shared" si="10"/>
        <v>31.285352546162823</v>
      </c>
      <c r="S23" s="14">
        <f t="shared" si="11"/>
        <v>12.588926721762727</v>
      </c>
      <c r="T23" s="14">
        <f t="shared" si="0"/>
        <v>110641.04639260481</v>
      </c>
      <c r="U23" s="14">
        <f t="shared" si="12"/>
        <v>2.16489090294338E-2</v>
      </c>
      <c r="V23" s="14">
        <f t="shared" si="1"/>
        <v>4.8306077094155961</v>
      </c>
      <c r="W23" s="14">
        <f t="shared" si="2"/>
        <v>72.286899316348226</v>
      </c>
      <c r="X23" s="14">
        <f t="shared" si="3"/>
        <v>1.7966274240189525E-2</v>
      </c>
      <c r="Y23" s="14">
        <f t="shared" si="4"/>
        <v>17.467780781571026</v>
      </c>
      <c r="Z23" s="14">
        <f t="shared" si="13"/>
        <v>0.13396276823872302</v>
      </c>
    </row>
    <row r="24" spans="1:26">
      <c r="A24" s="14">
        <v>5.2999999999999999E-2</v>
      </c>
      <c r="B24" s="14">
        <v>0</v>
      </c>
      <c r="C24" s="14">
        <v>50</v>
      </c>
      <c r="D24" s="14">
        <v>9</v>
      </c>
      <c r="E24" s="14">
        <v>0.6</v>
      </c>
      <c r="F24" s="14">
        <v>4.5999999999999999E-2</v>
      </c>
      <c r="G24" s="14">
        <v>6.0900000000000003E-2</v>
      </c>
      <c r="H24" s="14">
        <v>4.3529999999999998</v>
      </c>
      <c r="I24" s="14">
        <v>260</v>
      </c>
      <c r="J24" s="14">
        <f t="shared" si="14"/>
        <v>71.47783251231526</v>
      </c>
      <c r="K24" s="14">
        <v>101</v>
      </c>
      <c r="L24" s="14">
        <f t="shared" si="5"/>
        <v>231</v>
      </c>
      <c r="M24" s="14">
        <f t="shared" si="6"/>
        <v>4.2929683319261276</v>
      </c>
      <c r="N24" s="14">
        <f t="shared" si="7"/>
        <v>1.2010797826164512</v>
      </c>
      <c r="O24" s="14">
        <f t="shared" si="7"/>
        <v>2.7470240572712896</v>
      </c>
      <c r="P24" s="14">
        <f t="shared" si="8"/>
        <v>6.4301038522597693</v>
      </c>
      <c r="Q24" s="14">
        <f t="shared" si="9"/>
        <v>4.8833676891440412</v>
      </c>
      <c r="R24" s="14">
        <f t="shared" si="10"/>
        <v>22.982846442235413</v>
      </c>
      <c r="S24" s="14">
        <f t="shared" si="11"/>
        <v>10.048777015869163</v>
      </c>
      <c r="T24" s="14">
        <f t="shared" si="0"/>
        <v>81279.128170200653</v>
      </c>
      <c r="U24" s="14">
        <f t="shared" si="12"/>
        <v>2.2354039349922084E-2</v>
      </c>
      <c r="V24" s="14">
        <f t="shared" si="1"/>
        <v>2.9248865909428083</v>
      </c>
      <c r="W24" s="14">
        <f t="shared" si="2"/>
        <v>54.282250208780596</v>
      </c>
      <c r="X24" s="14">
        <f t="shared" si="3"/>
        <v>2.1683444467545655E-2</v>
      </c>
      <c r="Y24" s="14">
        <f t="shared" si="4"/>
        <v>13.943192927849053</v>
      </c>
      <c r="Z24" s="14">
        <f t="shared" si="13"/>
        <v>0.18332173520228737</v>
      </c>
    </row>
    <row r="25" spans="1:26">
      <c r="A25" s="14">
        <v>5.2999999999999999E-2</v>
      </c>
      <c r="B25" s="14">
        <v>0</v>
      </c>
      <c r="C25" s="14">
        <v>50</v>
      </c>
      <c r="D25" s="14">
        <v>9</v>
      </c>
      <c r="E25" s="14">
        <v>0.6</v>
      </c>
      <c r="F25" s="14">
        <v>4.5999999999999999E-2</v>
      </c>
      <c r="G25" s="14">
        <v>3.6200000000000003E-2</v>
      </c>
      <c r="H25" s="14">
        <v>2.4300000000000002</v>
      </c>
      <c r="I25" s="14">
        <v>150</v>
      </c>
      <c r="J25" s="14">
        <f t="shared" si="14"/>
        <v>67.127071823204417</v>
      </c>
      <c r="K25" s="14">
        <v>101</v>
      </c>
      <c r="L25" s="14">
        <f t="shared" si="5"/>
        <v>176</v>
      </c>
      <c r="M25" s="14">
        <f t="shared" si="6"/>
        <v>2.9848616379874184</v>
      </c>
      <c r="N25" s="14">
        <f t="shared" si="7"/>
        <v>1.2010797826164512</v>
      </c>
      <c r="O25" s="14">
        <f t="shared" si="7"/>
        <v>2.0929707103019348</v>
      </c>
      <c r="P25" s="14">
        <f t="shared" si="8"/>
        <v>5.4972152874283564</v>
      </c>
      <c r="Q25" s="14">
        <f t="shared" si="9"/>
        <v>5.109883704330846</v>
      </c>
      <c r="R25" s="14">
        <f t="shared" si="10"/>
        <v>13.661396407371463</v>
      </c>
      <c r="S25" s="14">
        <f t="shared" si="11"/>
        <v>7.8397786201393052</v>
      </c>
      <c r="T25" s="14">
        <f t="shared" si="0"/>
        <v>48313.701802319607</v>
      </c>
      <c r="U25" s="14">
        <f t="shared" si="12"/>
        <v>2.3900020076705941E-2</v>
      </c>
      <c r="V25" s="14">
        <f t="shared" si="1"/>
        <v>1.4502175418149945</v>
      </c>
      <c r="W25" s="14">
        <f t="shared" si="2"/>
        <v>23.662151804473829</v>
      </c>
      <c r="X25" s="14">
        <f t="shared" si="3"/>
        <v>3.0661036700582168E-2</v>
      </c>
      <c r="Y25" s="14">
        <f t="shared" si="4"/>
        <v>10.878094482502926</v>
      </c>
      <c r="Z25" s="14">
        <f t="shared" si="13"/>
        <v>0.25120928448182467</v>
      </c>
    </row>
    <row r="26" spans="1:26">
      <c r="A26" s="14">
        <v>5.2999999999999999E-2</v>
      </c>
      <c r="B26" s="14">
        <v>0</v>
      </c>
      <c r="C26" s="14">
        <v>50</v>
      </c>
      <c r="D26" s="14">
        <v>9</v>
      </c>
      <c r="E26" s="14">
        <v>0.6</v>
      </c>
      <c r="F26" s="14">
        <v>4.5999999999999999E-2</v>
      </c>
      <c r="G26" s="14">
        <v>2.8899999999999999E-2</v>
      </c>
      <c r="H26" s="14">
        <v>1.9850000000000001</v>
      </c>
      <c r="I26" s="14">
        <v>125</v>
      </c>
      <c r="J26" s="14">
        <f t="shared" si="14"/>
        <v>68.68512110726644</v>
      </c>
      <c r="K26" s="14">
        <v>101</v>
      </c>
      <c r="L26" s="14">
        <f t="shared" si="5"/>
        <v>163.5</v>
      </c>
      <c r="M26" s="14">
        <f t="shared" si="6"/>
        <v>2.6875646620922571</v>
      </c>
      <c r="N26" s="14">
        <f t="shared" si="7"/>
        <v>1.2010797826164512</v>
      </c>
      <c r="O26" s="14">
        <f t="shared" si="7"/>
        <v>1.9443222223543541</v>
      </c>
      <c r="P26" s="14">
        <f t="shared" si="8"/>
        <v>4.8741321534098363</v>
      </c>
      <c r="Q26" s="14">
        <f t="shared" si="9"/>
        <v>5.0259285612766078</v>
      </c>
      <c r="R26" s="14">
        <f t="shared" si="10"/>
        <v>10.906473927431911</v>
      </c>
      <c r="S26" s="14">
        <f t="shared" si="11"/>
        <v>6.7373325178631385</v>
      </c>
      <c r="T26" s="14">
        <f t="shared" si="0"/>
        <v>38570.8834830673</v>
      </c>
      <c r="U26" s="14">
        <f t="shared" si="12"/>
        <v>2.4730808458326262E-2</v>
      </c>
      <c r="V26" s="14">
        <f t="shared" si="1"/>
        <v>1.0295481377020739</v>
      </c>
      <c r="W26" s="14">
        <f t="shared" si="2"/>
        <v>16.605349766167272</v>
      </c>
      <c r="X26" s="14">
        <f t="shared" si="3"/>
        <v>3.7548459986164837E-2</v>
      </c>
      <c r="Y26" s="14">
        <f t="shared" si="4"/>
        <v>9.3483940351433379</v>
      </c>
      <c r="Z26" s="14">
        <f t="shared" si="13"/>
        <v>0.3111884458918473</v>
      </c>
    </row>
    <row r="27" spans="1:26" s="16" customFormat="1">
      <c r="A27" s="16">
        <v>5.2999999999999999E-2</v>
      </c>
      <c r="B27" s="14">
        <v>0</v>
      </c>
      <c r="C27" s="16">
        <v>50</v>
      </c>
      <c r="D27" s="14">
        <v>9</v>
      </c>
      <c r="E27" s="14">
        <v>0.6</v>
      </c>
      <c r="F27" s="14">
        <v>4.5999999999999999E-2</v>
      </c>
      <c r="G27" s="16">
        <v>1.7999999999999999E-2</v>
      </c>
      <c r="H27" s="16">
        <v>1.28</v>
      </c>
      <c r="I27" s="16">
        <v>100</v>
      </c>
      <c r="J27" s="16">
        <f t="shared" si="14"/>
        <v>71.111111111111114</v>
      </c>
      <c r="K27" s="16">
        <v>101</v>
      </c>
      <c r="L27" s="16">
        <f t="shared" si="5"/>
        <v>151</v>
      </c>
      <c r="M27" s="16">
        <f t="shared" si="6"/>
        <v>2.3902676861970962</v>
      </c>
      <c r="N27" s="16">
        <f t="shared" si="7"/>
        <v>1.2010797826164512</v>
      </c>
      <c r="O27" s="16">
        <f t="shared" si="7"/>
        <v>1.7956737344067737</v>
      </c>
      <c r="P27" s="14">
        <f t="shared" si="8"/>
        <v>3.4133776790909143</v>
      </c>
      <c r="Q27" s="16">
        <f t="shared" si="9"/>
        <v>4.9015372600479488</v>
      </c>
      <c r="R27" s="16">
        <f t="shared" si="10"/>
        <v>6.7929595395769686</v>
      </c>
      <c r="S27" s="16">
        <f t="shared" si="11"/>
        <v>4.5436351887236679</v>
      </c>
      <c r="T27" s="16">
        <f t="shared" si="0"/>
        <v>24023.387636512507</v>
      </c>
      <c r="U27" s="14">
        <f t="shared" si="12"/>
        <v>2.6851766789624993E-2</v>
      </c>
      <c r="V27" s="16">
        <f t="shared" si="1"/>
        <v>0.46953864742535678</v>
      </c>
      <c r="W27" s="14">
        <f t="shared" si="2"/>
        <v>7.217724322734842</v>
      </c>
      <c r="X27" s="16">
        <f t="shared" si="3"/>
        <v>7.4237901196546358E-2</v>
      </c>
      <c r="Y27" s="16">
        <f t="shared" si="4"/>
        <v>6.3045266035946836</v>
      </c>
      <c r="Z27" s="16">
        <f t="shared" si="13"/>
        <v>0.62602895064433584</v>
      </c>
    </row>
    <row r="28" spans="1:26">
      <c r="A28" s="14">
        <v>5.2999999999999999E-2</v>
      </c>
      <c r="B28" s="14">
        <v>0</v>
      </c>
      <c r="C28" s="14">
        <v>50</v>
      </c>
      <c r="D28" s="14">
        <v>9</v>
      </c>
      <c r="E28" s="14">
        <v>0.6</v>
      </c>
      <c r="F28" s="14">
        <v>4.5999999999999999E-2</v>
      </c>
      <c r="G28" s="14">
        <v>4.65E-2</v>
      </c>
      <c r="H28" s="14">
        <v>3.28</v>
      </c>
      <c r="I28" s="14">
        <v>185</v>
      </c>
      <c r="J28" s="14">
        <f t="shared" si="14"/>
        <v>70.537634408602145</v>
      </c>
      <c r="K28" s="14">
        <v>101</v>
      </c>
      <c r="L28" s="14">
        <f t="shared" si="5"/>
        <v>193.5</v>
      </c>
      <c r="M28" s="14">
        <f t="shared" si="6"/>
        <v>3.401077404240644</v>
      </c>
      <c r="N28" s="14">
        <f t="shared" si="7"/>
        <v>1.2010797826164512</v>
      </c>
      <c r="O28" s="14">
        <f t="shared" si="7"/>
        <v>2.3010785934285476</v>
      </c>
      <c r="P28" s="14">
        <f t="shared" si="8"/>
        <v>6.1971900694683821</v>
      </c>
      <c r="Q28" s="14">
        <f t="shared" si="9"/>
        <v>4.9302764830816015</v>
      </c>
      <c r="R28" s="14">
        <f t="shared" si="10"/>
        <v>17.548478810573837</v>
      </c>
      <c r="S28" s="14">
        <f t="shared" si="11"/>
        <v>9.1596711104287216</v>
      </c>
      <c r="T28" s="14">
        <f t="shared" si="0"/>
        <v>62060.418060990633</v>
      </c>
      <c r="U28" s="14">
        <f t="shared" si="12"/>
        <v>2.3095087907761578E-2</v>
      </c>
      <c r="V28" s="14">
        <f t="shared" si="1"/>
        <v>2.1031728708688795</v>
      </c>
      <c r="W28" s="14">
        <f t="shared" si="2"/>
        <v>37.289756841434333</v>
      </c>
      <c r="X28" s="14">
        <f t="shared" si="3"/>
        <v>2.2667635547223727E-2</v>
      </c>
      <c r="Y28" s="14">
        <f t="shared" si="4"/>
        <v>12.709512933430972</v>
      </c>
      <c r="Z28" s="14">
        <f t="shared" si="13"/>
        <v>0.19037795911719815</v>
      </c>
    </row>
    <row r="29" spans="1:26">
      <c r="A29" s="14">
        <v>5.2999999999999999E-2</v>
      </c>
      <c r="B29" s="14">
        <v>0</v>
      </c>
      <c r="C29" s="14">
        <v>50</v>
      </c>
      <c r="D29" s="14">
        <v>9</v>
      </c>
      <c r="E29" s="14">
        <v>0.6</v>
      </c>
      <c r="F29" s="14">
        <v>4.5999999999999999E-2</v>
      </c>
      <c r="G29" s="14">
        <v>3.7100000000000001E-2</v>
      </c>
      <c r="H29" s="14">
        <v>2.73</v>
      </c>
      <c r="I29" s="14">
        <v>160</v>
      </c>
      <c r="J29" s="14">
        <f t="shared" si="14"/>
        <v>73.584905660377359</v>
      </c>
      <c r="K29" s="14">
        <v>101</v>
      </c>
      <c r="L29" s="14">
        <f t="shared" si="5"/>
        <v>181</v>
      </c>
      <c r="M29" s="14">
        <f t="shared" si="6"/>
        <v>3.1037804283454831</v>
      </c>
      <c r="N29" s="14">
        <f t="shared" si="7"/>
        <v>1.2010797826164512</v>
      </c>
      <c r="O29" s="14">
        <f t="shared" si="7"/>
        <v>2.1524301054809669</v>
      </c>
      <c r="P29" s="14">
        <f t="shared" si="8"/>
        <v>5.4180286698060582</v>
      </c>
      <c r="Q29" s="14">
        <f t="shared" si="9"/>
        <v>4.7820012945125567</v>
      </c>
      <c r="R29" s="14">
        <f t="shared" si="10"/>
        <v>14.00104438435031</v>
      </c>
      <c r="S29" s="14">
        <f t="shared" si="11"/>
        <v>7.8127374741402278</v>
      </c>
      <c r="T29" s="14">
        <f t="shared" si="0"/>
        <v>49514.871184145217</v>
      </c>
      <c r="U29" s="14">
        <f t="shared" si="12"/>
        <v>2.3815732022174494E-2</v>
      </c>
      <c r="V29" s="14">
        <f t="shared" si="1"/>
        <v>1.4759226387419995</v>
      </c>
      <c r="W29" s="14">
        <f t="shared" si="2"/>
        <v>26.457586776488991</v>
      </c>
      <c r="X29" s="14">
        <f t="shared" si="3"/>
        <v>2.8960378968571322E-2</v>
      </c>
      <c r="Y29" s="14">
        <f t="shared" si="4"/>
        <v>10.840573507058865</v>
      </c>
      <c r="Z29" s="14">
        <f t="shared" si="13"/>
        <v>0.24842689388231315</v>
      </c>
    </row>
    <row r="30" spans="1:26">
      <c r="A30" s="14">
        <v>5.2999999999999999E-2</v>
      </c>
      <c r="B30" s="14">
        <v>0</v>
      </c>
      <c r="C30" s="14">
        <v>50</v>
      </c>
      <c r="D30" s="14">
        <v>9</v>
      </c>
      <c r="E30" s="14">
        <v>0.6</v>
      </c>
      <c r="F30" s="14">
        <v>4.5999999999999999E-2</v>
      </c>
      <c r="G30" s="14">
        <v>2.1100000000000001E-2</v>
      </c>
      <c r="H30" s="14">
        <v>1.8779999999999999</v>
      </c>
      <c r="I30" s="14">
        <v>120</v>
      </c>
      <c r="J30" s="14">
        <f t="shared" si="14"/>
        <v>89.004739336492889</v>
      </c>
      <c r="K30" s="14">
        <v>101</v>
      </c>
      <c r="L30" s="14">
        <f t="shared" si="5"/>
        <v>161</v>
      </c>
      <c r="M30" s="14">
        <f t="shared" si="6"/>
        <v>2.628105266913225</v>
      </c>
      <c r="N30" s="14">
        <f t="shared" si="7"/>
        <v>1.2010797826164512</v>
      </c>
      <c r="O30" s="14">
        <f t="shared" si="7"/>
        <v>1.9145925247648381</v>
      </c>
      <c r="P30" s="14">
        <f t="shared" si="8"/>
        <v>3.6391342571122371</v>
      </c>
      <c r="Q30" s="14">
        <f t="shared" si="9"/>
        <v>4.1682607222645007</v>
      </c>
      <c r="R30" s="14">
        <f t="shared" si="10"/>
        <v>7.962858126948559</v>
      </c>
      <c r="S30" s="14">
        <f t="shared" si="11"/>
        <v>4.9953333591416422</v>
      </c>
      <c r="T30" s="14">
        <f t="shared" si="0"/>
        <v>28160.748840578544</v>
      </c>
      <c r="U30" s="14">
        <f t="shared" si="12"/>
        <v>2.607928320708695E-2</v>
      </c>
      <c r="V30" s="14">
        <f t="shared" si="1"/>
        <v>0.58771273328039264</v>
      </c>
      <c r="W30" s="14">
        <f t="shared" si="2"/>
        <v>11.610059706057896</v>
      </c>
      <c r="X30" s="14">
        <f t="shared" si="3"/>
        <v>5.3745876855397189E-2</v>
      </c>
      <c r="Y30" s="14">
        <f t="shared" si="4"/>
        <v>6.9312809564227136</v>
      </c>
      <c r="Z30" s="14">
        <f t="shared" si="13"/>
        <v>0.50705108812209843</v>
      </c>
    </row>
    <row r="31" spans="1:26">
      <c r="A31" s="14">
        <v>5.2999999999999999E-2</v>
      </c>
      <c r="B31" s="14">
        <v>0</v>
      </c>
      <c r="C31" s="14">
        <v>50</v>
      </c>
      <c r="D31" s="14">
        <v>9</v>
      </c>
      <c r="E31" s="14">
        <v>0.6</v>
      </c>
      <c r="F31" s="14">
        <v>4.5999999999999999E-2</v>
      </c>
      <c r="G31" s="14">
        <v>1.9599999999999999E-2</v>
      </c>
      <c r="H31" s="14">
        <v>1.216</v>
      </c>
      <c r="I31" s="14">
        <v>90</v>
      </c>
      <c r="J31" s="14">
        <f t="shared" si="14"/>
        <v>62.04081632653061</v>
      </c>
      <c r="K31" s="14">
        <v>101</v>
      </c>
      <c r="L31" s="14">
        <f t="shared" si="5"/>
        <v>146</v>
      </c>
      <c r="M31" s="14">
        <f t="shared" si="6"/>
        <v>2.2713488958390315</v>
      </c>
      <c r="N31" s="14">
        <f t="shared" si="7"/>
        <v>1.2010797826164512</v>
      </c>
      <c r="O31" s="14">
        <f t="shared" si="7"/>
        <v>1.7362143392277414</v>
      </c>
      <c r="P31" s="14">
        <f t="shared" si="8"/>
        <v>3.9113853125499034</v>
      </c>
      <c r="Q31" s="14">
        <f t="shared" si="9"/>
        <v>5.4090126880972313</v>
      </c>
      <c r="R31" s="14">
        <f t="shared" si="10"/>
        <v>7.3967781653171443</v>
      </c>
      <c r="S31" s="14">
        <f t="shared" si="11"/>
        <v>5.1169492787467918</v>
      </c>
      <c r="T31" s="14">
        <f t="shared" si="0"/>
        <v>26158.79987086917</v>
      </c>
      <c r="U31" s="14">
        <f t="shared" si="12"/>
        <v>2.6429765048940349E-2</v>
      </c>
      <c r="V31" s="14">
        <f t="shared" si="1"/>
        <v>0.56673887582765936</v>
      </c>
      <c r="W31" s="14">
        <f t="shared" si="2"/>
        <v>7.7376869532677013</v>
      </c>
      <c r="X31" s="14">
        <f t="shared" si="3"/>
        <v>6.1408900823836897E-2</v>
      </c>
      <c r="Y31" s="14">
        <f t="shared" si="4"/>
        <v>7.1000292754942267</v>
      </c>
      <c r="Z31" s="14">
        <f t="shared" si="13"/>
        <v>0.4836933044388807</v>
      </c>
    </row>
    <row r="32" spans="1:26">
      <c r="A32" s="14">
        <v>5.2999999999999999E-2</v>
      </c>
      <c r="B32" s="14">
        <v>0</v>
      </c>
      <c r="C32" s="14">
        <v>50</v>
      </c>
      <c r="D32" s="14">
        <v>9</v>
      </c>
      <c r="E32" s="14">
        <v>0.6</v>
      </c>
      <c r="F32" s="14">
        <v>4.5999999999999999E-2</v>
      </c>
      <c r="G32" s="14">
        <v>1.2500000000000001E-2</v>
      </c>
      <c r="H32" s="14">
        <v>0.64</v>
      </c>
      <c r="I32" s="14">
        <v>70</v>
      </c>
      <c r="J32" s="14">
        <f t="shared" si="14"/>
        <v>51.199999999999996</v>
      </c>
      <c r="K32" s="14">
        <v>101</v>
      </c>
      <c r="L32" s="14">
        <f t="shared" si="5"/>
        <v>136</v>
      </c>
      <c r="M32" s="14">
        <f t="shared" si="6"/>
        <v>2.0335113151229027</v>
      </c>
      <c r="N32" s="14">
        <f t="shared" si="7"/>
        <v>1.2010797826164512</v>
      </c>
      <c r="O32" s="14">
        <f t="shared" si="7"/>
        <v>1.617295548869677</v>
      </c>
      <c r="P32" s="14">
        <f t="shared" si="8"/>
        <v>2.7862610197257709</v>
      </c>
      <c r="Q32" s="14">
        <f t="shared" si="9"/>
        <v>6.2135278026475307</v>
      </c>
      <c r="R32" s="14">
        <f t="shared" si="10"/>
        <v>4.7173330135951179</v>
      </c>
      <c r="S32" s="14">
        <f t="shared" si="11"/>
        <v>3.5033134880375503</v>
      </c>
      <c r="T32" s="14">
        <f t="shared" si="0"/>
        <v>16682.90808091146</v>
      </c>
      <c r="U32" s="14">
        <f t="shared" si="12"/>
        <v>2.8883407998812945E-2</v>
      </c>
      <c r="V32" s="14">
        <f t="shared" si="1"/>
        <v>0.27043317543182765</v>
      </c>
      <c r="W32" s="14">
        <f t="shared" si="2"/>
        <v>2.7975745003320887</v>
      </c>
      <c r="X32" s="14">
        <f t="shared" si="3"/>
        <v>0.13962148696913493</v>
      </c>
      <c r="Y32" s="14">
        <f t="shared" si="4"/>
        <v>4.8610269461948388</v>
      </c>
      <c r="Z32" s="14">
        <f t="shared" si="13"/>
        <v>0.9990500351442777</v>
      </c>
    </row>
    <row r="33" spans="1:26">
      <c r="A33" s="14">
        <v>5.2999999999999999E-2</v>
      </c>
      <c r="B33" s="14">
        <v>0</v>
      </c>
      <c r="C33" s="14">
        <v>50</v>
      </c>
      <c r="D33" s="14">
        <v>9</v>
      </c>
      <c r="E33" s="14">
        <v>0.6</v>
      </c>
      <c r="F33" s="14">
        <v>4.5999999999999999E-2</v>
      </c>
      <c r="G33" s="14">
        <v>3.6200000000000003E-2</v>
      </c>
      <c r="H33" s="14">
        <v>1.4850000000000001</v>
      </c>
      <c r="I33" s="14">
        <v>100</v>
      </c>
      <c r="J33" s="14">
        <f t="shared" si="14"/>
        <v>41.02209944751381</v>
      </c>
      <c r="K33" s="14">
        <v>101</v>
      </c>
      <c r="L33" s="14">
        <f t="shared" si="5"/>
        <v>151</v>
      </c>
      <c r="M33" s="14">
        <f t="shared" si="6"/>
        <v>2.3902676861970962</v>
      </c>
      <c r="N33" s="14">
        <f t="shared" si="7"/>
        <v>1.2010797826164512</v>
      </c>
      <c r="O33" s="14">
        <f t="shared" si="7"/>
        <v>1.7956737344067737</v>
      </c>
      <c r="P33" s="14">
        <f t="shared" si="8"/>
        <v>6.8646817768383954</v>
      </c>
      <c r="Q33" s="14">
        <f t="shared" si="9"/>
        <v>7.2917579893384241</v>
      </c>
      <c r="R33" s="14">
        <f t="shared" si="10"/>
        <v>13.661396407371463</v>
      </c>
      <c r="S33" s="14">
        <f t="shared" si="11"/>
        <v>9.1377552128776003</v>
      </c>
      <c r="T33" s="14">
        <f t="shared" si="0"/>
        <v>48313.701802319607</v>
      </c>
      <c r="U33" s="14">
        <f t="shared" si="12"/>
        <v>2.3900020076705941E-2</v>
      </c>
      <c r="V33" s="14">
        <f t="shared" si="1"/>
        <v>1.6903197838373447</v>
      </c>
      <c r="W33" s="14">
        <f t="shared" si="2"/>
        <v>17.011710369745838</v>
      </c>
      <c r="X33" s="14">
        <f t="shared" si="3"/>
        <v>2.8021488980764318E-2</v>
      </c>
      <c r="Y33" s="14">
        <f t="shared" si="4"/>
        <v>12.679103502784866</v>
      </c>
      <c r="Z33" s="14">
        <f t="shared" si="13"/>
        <v>0.17947342478432987</v>
      </c>
    </row>
    <row r="34" spans="1:26">
      <c r="A34" s="14">
        <v>5.2999999999999999E-2</v>
      </c>
      <c r="B34" s="14">
        <v>0</v>
      </c>
      <c r="C34" s="14">
        <v>50</v>
      </c>
      <c r="D34" s="14">
        <v>9</v>
      </c>
      <c r="E34" s="14">
        <v>0.6</v>
      </c>
      <c r="F34" s="14">
        <v>4.5999999999999999E-2</v>
      </c>
      <c r="G34" s="14">
        <v>2.1999999999999999E-2</v>
      </c>
      <c r="H34" s="14">
        <v>0.96899999999999997</v>
      </c>
      <c r="I34" s="14">
        <v>70</v>
      </c>
      <c r="J34" s="14">
        <f t="shared" si="14"/>
        <v>44.045454545454547</v>
      </c>
      <c r="K34" s="14">
        <v>101</v>
      </c>
      <c r="L34" s="14">
        <f t="shared" si="5"/>
        <v>136</v>
      </c>
      <c r="M34" s="14">
        <f t="shared" si="6"/>
        <v>2.0335113151229027</v>
      </c>
      <c r="N34" s="14">
        <f t="shared" si="7"/>
        <v>1.2010797826164512</v>
      </c>
      <c r="O34" s="14">
        <f t="shared" si="7"/>
        <v>1.617295548869677</v>
      </c>
      <c r="P34" s="14">
        <f t="shared" si="8"/>
        <v>4.9038193947173561</v>
      </c>
      <c r="Q34" s="14">
        <f t="shared" si="9"/>
        <v>6.9268305915139488</v>
      </c>
      <c r="R34" s="14">
        <f t="shared" si="10"/>
        <v>8.3025061039274064</v>
      </c>
      <c r="S34" s="14">
        <f t="shared" si="11"/>
        <v>6.1658317389460882</v>
      </c>
      <c r="T34" s="14">
        <f t="shared" si="0"/>
        <v>29361.918222404169</v>
      </c>
      <c r="U34" s="14">
        <f t="shared" si="12"/>
        <v>2.5886762453139166E-2</v>
      </c>
      <c r="V34" s="14">
        <f t="shared" si="1"/>
        <v>0.75078330504279345</v>
      </c>
      <c r="W34" s="14">
        <f t="shared" si="2"/>
        <v>7.478034544826385</v>
      </c>
      <c r="X34" s="14">
        <f t="shared" si="3"/>
        <v>4.8355730473101349E-2</v>
      </c>
      <c r="Y34" s="14">
        <f t="shared" si="4"/>
        <v>8.5554074253029153</v>
      </c>
      <c r="Z34" s="14">
        <f t="shared" si="13"/>
        <v>0.32092126567898371</v>
      </c>
    </row>
    <row r="35" spans="1:26">
      <c r="A35" s="14">
        <v>5.2999999999999999E-2</v>
      </c>
      <c r="B35" s="14">
        <v>0</v>
      </c>
      <c r="C35" s="14">
        <v>50</v>
      </c>
      <c r="D35" s="14">
        <v>9</v>
      </c>
      <c r="E35" s="14">
        <v>0.6</v>
      </c>
      <c r="F35" s="14">
        <v>4.5999999999999999E-2</v>
      </c>
      <c r="G35" s="14">
        <v>6.0299999999999999E-2</v>
      </c>
      <c r="H35" s="14">
        <v>1.423</v>
      </c>
      <c r="I35" s="14">
        <v>110</v>
      </c>
      <c r="J35" s="14">
        <f t="shared" si="14"/>
        <v>23.598673300165839</v>
      </c>
      <c r="K35" s="14">
        <v>101</v>
      </c>
      <c r="L35" s="14">
        <f t="shared" si="5"/>
        <v>156</v>
      </c>
      <c r="M35" s="14">
        <f t="shared" si="6"/>
        <v>2.5091864765551604</v>
      </c>
      <c r="N35" s="14">
        <f t="shared" si="7"/>
        <v>1.2010797826164512</v>
      </c>
      <c r="O35" s="14">
        <f t="shared" si="7"/>
        <v>1.8551331295858058</v>
      </c>
      <c r="P35" s="14">
        <f t="shared" si="8"/>
        <v>10.892880854103637</v>
      </c>
      <c r="Q35" s="14">
        <f t="shared" si="9"/>
        <v>10.869418719325163</v>
      </c>
      <c r="R35" s="14">
        <f t="shared" si="10"/>
        <v>22.756414457582849</v>
      </c>
      <c r="S35" s="14">
        <f t="shared" si="11"/>
        <v>14.733319616768382</v>
      </c>
      <c r="T35" s="14">
        <f t="shared" si="0"/>
        <v>80478.348582316888</v>
      </c>
      <c r="U35" s="14">
        <f t="shared" si="12"/>
        <v>2.2379087519178616E-2</v>
      </c>
      <c r="V35" s="14">
        <f t="shared" si="1"/>
        <v>4.2509188626313428</v>
      </c>
      <c r="W35" s="14">
        <f t="shared" si="2"/>
        <v>26.745563388006129</v>
      </c>
      <c r="X35" s="14">
        <f t="shared" si="3"/>
        <v>1.7624564742808151E-2</v>
      </c>
      <c r="Y35" s="14">
        <f t="shared" si="4"/>
        <v>20.443235784797249</v>
      </c>
      <c r="Z35" s="14">
        <f t="shared" si="13"/>
        <v>8.561743138813778E-2</v>
      </c>
    </row>
    <row r="36" spans="1:26">
      <c r="A36" s="14">
        <v>5.2999999999999999E-2</v>
      </c>
      <c r="B36" s="14">
        <v>0</v>
      </c>
      <c r="C36" s="14">
        <v>50</v>
      </c>
      <c r="D36" s="14">
        <v>9</v>
      </c>
      <c r="E36" s="14">
        <v>0.6</v>
      </c>
      <c r="F36" s="14">
        <v>4.5999999999999999E-2</v>
      </c>
      <c r="G36" s="14">
        <v>2.87E-2</v>
      </c>
      <c r="H36" s="14">
        <v>0.96899999999999997</v>
      </c>
      <c r="I36" s="14">
        <v>70</v>
      </c>
      <c r="J36" s="14">
        <f t="shared" si="14"/>
        <v>33.763066202090592</v>
      </c>
      <c r="K36" s="14">
        <v>101</v>
      </c>
      <c r="L36" s="14">
        <f t="shared" si="5"/>
        <v>136</v>
      </c>
      <c r="M36" s="14">
        <f t="shared" si="6"/>
        <v>2.0335113151229027</v>
      </c>
      <c r="N36" s="14">
        <f t="shared" si="7"/>
        <v>1.2010797826164512</v>
      </c>
      <c r="O36" s="14">
        <f t="shared" si="7"/>
        <v>1.617295548869677</v>
      </c>
      <c r="P36" s="14">
        <f t="shared" si="8"/>
        <v>6.3972553012903699</v>
      </c>
      <c r="Q36" s="14">
        <f t="shared" si="9"/>
        <v>8.3925921830992678</v>
      </c>
      <c r="R36" s="14">
        <f t="shared" si="10"/>
        <v>10.830996599214391</v>
      </c>
      <c r="S36" s="14">
        <f t="shared" si="11"/>
        <v>8.0436077685342156</v>
      </c>
      <c r="T36" s="14">
        <f t="shared" si="0"/>
        <v>38303.956953772715</v>
      </c>
      <c r="U36" s="14">
        <f t="shared" si="12"/>
        <v>2.4758139222051528E-2</v>
      </c>
      <c r="V36" s="14">
        <f t="shared" si="1"/>
        <v>1.2220058947962156</v>
      </c>
      <c r="W36" s="14">
        <f t="shared" si="2"/>
        <v>9.8213909905611079</v>
      </c>
      <c r="X36" s="14">
        <f t="shared" si="3"/>
        <v>3.5378162508030567E-2</v>
      </c>
      <c r="Y36" s="14">
        <f t="shared" si="4"/>
        <v>11.160917868463351</v>
      </c>
      <c r="Z36" s="14">
        <f t="shared" si="13"/>
        <v>0.20556833232277394</v>
      </c>
    </row>
    <row r="37" spans="1:26">
      <c r="A37" s="14">
        <v>5.2999999999999999E-2</v>
      </c>
      <c r="B37" s="14">
        <v>0</v>
      </c>
      <c r="C37" s="14">
        <v>50</v>
      </c>
      <c r="D37" s="14">
        <v>9</v>
      </c>
      <c r="E37" s="14">
        <v>0.6</v>
      </c>
      <c r="F37" s="14">
        <v>4.5999999999999999E-2</v>
      </c>
      <c r="G37" s="14">
        <v>0.05</v>
      </c>
      <c r="H37" s="14">
        <v>0.93300000000000005</v>
      </c>
      <c r="I37" s="14">
        <v>70</v>
      </c>
      <c r="J37" s="14">
        <f t="shared" si="14"/>
        <v>18.66</v>
      </c>
      <c r="K37" s="14">
        <v>101</v>
      </c>
      <c r="L37" s="14">
        <f t="shared" si="5"/>
        <v>136</v>
      </c>
      <c r="M37" s="14">
        <f t="shared" si="6"/>
        <v>2.0335113151229027</v>
      </c>
      <c r="N37" s="14">
        <f t="shared" si="7"/>
        <v>1.2010797826164512</v>
      </c>
      <c r="O37" s="14">
        <f t="shared" si="7"/>
        <v>1.617295548869677</v>
      </c>
      <c r="P37" s="14">
        <f t="shared" si="8"/>
        <v>11.145044078903084</v>
      </c>
      <c r="Q37" s="14">
        <f t="shared" si="9"/>
        <v>12.877541380566617</v>
      </c>
      <c r="R37" s="14">
        <f t="shared" si="10"/>
        <v>18.869332054380472</v>
      </c>
      <c r="S37" s="14">
        <f t="shared" si="11"/>
        <v>14.013253952150201</v>
      </c>
      <c r="T37" s="14">
        <f t="shared" si="0"/>
        <v>66731.632323645841</v>
      </c>
      <c r="U37" s="14">
        <f t="shared" si="12"/>
        <v>2.2883463271875414E-2</v>
      </c>
      <c r="V37" s="14">
        <f t="shared" si="1"/>
        <v>3.4280983118032062</v>
      </c>
      <c r="W37" s="14">
        <f t="shared" si="2"/>
        <v>16.858334000468613</v>
      </c>
      <c r="X37" s="14">
        <f t="shared" si="3"/>
        <v>1.7784095285599256E-2</v>
      </c>
      <c r="Y37" s="14">
        <f t="shared" si="4"/>
        <v>19.444107784779355</v>
      </c>
      <c r="Z37" s="14">
        <f t="shared" si="13"/>
        <v>7.682235144848748E-2</v>
      </c>
    </row>
    <row r="38" spans="1:26">
      <c r="A38" s="14">
        <v>5.2999999999999999E-2</v>
      </c>
      <c r="B38" s="14">
        <v>0</v>
      </c>
      <c r="C38" s="14">
        <v>50</v>
      </c>
      <c r="D38" s="14">
        <v>9</v>
      </c>
      <c r="E38" s="14">
        <v>0.6</v>
      </c>
      <c r="F38" s="14">
        <v>4.5999999999999999E-2</v>
      </c>
      <c r="G38" s="14">
        <v>8.2900000000000001E-2</v>
      </c>
      <c r="H38" s="14">
        <v>1.28</v>
      </c>
      <c r="I38" s="14">
        <v>130</v>
      </c>
      <c r="J38" s="14">
        <f t="shared" si="14"/>
        <v>15.440289505428227</v>
      </c>
      <c r="K38" s="14">
        <v>101</v>
      </c>
      <c r="L38" s="14">
        <f t="shared" si="5"/>
        <v>166</v>
      </c>
      <c r="M38" s="14">
        <f t="shared" si="6"/>
        <v>2.7470240572712896</v>
      </c>
      <c r="N38" s="14">
        <f t="shared" si="7"/>
        <v>1.2010797826164512</v>
      </c>
      <c r="O38" s="14">
        <f t="shared" si="7"/>
        <v>1.9740519199438704</v>
      </c>
      <c r="P38" s="14">
        <f t="shared" si="8"/>
        <v>13.678877087283309</v>
      </c>
      <c r="Q38" s="14">
        <f t="shared" si="9"/>
        <v>14.764608332920179</v>
      </c>
      <c r="R38" s="14">
        <f t="shared" si="10"/>
        <v>31.285352546162823</v>
      </c>
      <c r="S38" s="14">
        <f t="shared" si="11"/>
        <v>19.035063898568943</v>
      </c>
      <c r="T38" s="14">
        <f t="shared" si="0"/>
        <v>110641.0463926048</v>
      </c>
      <c r="U38" s="14">
        <f t="shared" si="12"/>
        <v>2.16489090294338E-2</v>
      </c>
      <c r="V38" s="14">
        <f t="shared" si="1"/>
        <v>7.3041116570079216</v>
      </c>
      <c r="W38" s="14">
        <f t="shared" si="2"/>
        <v>31.749762002858301</v>
      </c>
      <c r="X38" s="14">
        <f t="shared" si="3"/>
        <v>1.7458116157674418E-2</v>
      </c>
      <c r="Y38" s="14">
        <f t="shared" si="4"/>
        <v>26.412126362495947</v>
      </c>
      <c r="Z38" s="14">
        <f t="shared" si="13"/>
        <v>6.8600155207353547E-2</v>
      </c>
    </row>
    <row r="39" spans="1:26">
      <c r="A39" s="14">
        <v>5.2999999999999999E-2</v>
      </c>
      <c r="B39" s="14">
        <v>0</v>
      </c>
      <c r="C39" s="14">
        <v>50</v>
      </c>
      <c r="D39" s="14">
        <v>9</v>
      </c>
      <c r="E39" s="14">
        <v>0.6</v>
      </c>
      <c r="F39" s="14">
        <v>4.5999999999999999E-2</v>
      </c>
      <c r="G39" s="14">
        <v>7.6799999999999993E-2</v>
      </c>
      <c r="H39" s="14">
        <v>3.073</v>
      </c>
      <c r="I39" s="14">
        <v>230</v>
      </c>
      <c r="J39" s="14">
        <f t="shared" si="14"/>
        <v>40.013020833333336</v>
      </c>
      <c r="K39" s="14">
        <v>101</v>
      </c>
      <c r="L39" s="14">
        <f t="shared" si="5"/>
        <v>216</v>
      </c>
      <c r="M39" s="14">
        <f t="shared" si="6"/>
        <v>3.9362119608519341</v>
      </c>
      <c r="N39" s="14">
        <f t="shared" si="7"/>
        <v>1.2010797826164512</v>
      </c>
      <c r="O39" s="14">
        <f t="shared" si="7"/>
        <v>2.5686458717341929</v>
      </c>
      <c r="P39" s="14">
        <f t="shared" si="8"/>
        <v>8.8438450078198443</v>
      </c>
      <c r="Q39" s="14">
        <f t="shared" si="9"/>
        <v>7.4240654190508995</v>
      </c>
      <c r="R39" s="14">
        <f t="shared" si="10"/>
        <v>28.983294035528402</v>
      </c>
      <c r="S39" s="14">
        <f t="shared" si="11"/>
        <v>13.552373599946151</v>
      </c>
      <c r="T39" s="14">
        <f t="shared" si="0"/>
        <v>102499.78724912003</v>
      </c>
      <c r="U39" s="14">
        <f t="shared" si="12"/>
        <v>2.1810609232468678E-2</v>
      </c>
      <c r="V39" s="14">
        <f t="shared" si="1"/>
        <v>4.853632620454964</v>
      </c>
      <c r="W39" s="14">
        <f t="shared" si="2"/>
        <v>52.242083339371582</v>
      </c>
      <c r="X39" s="14">
        <f t="shared" si="3"/>
        <v>1.9418036349936062E-2</v>
      </c>
      <c r="Y39" s="14">
        <f t="shared" si="4"/>
        <v>18.804612684302167</v>
      </c>
      <c r="Z39" s="14">
        <f t="shared" si="13"/>
        <v>0.12283043216027925</v>
      </c>
    </row>
    <row r="40" spans="1:26">
      <c r="A40" s="14">
        <v>5.2999999999999999E-2</v>
      </c>
      <c r="B40" s="14">
        <v>0</v>
      </c>
      <c r="C40" s="14">
        <v>50</v>
      </c>
      <c r="D40" s="14">
        <v>9</v>
      </c>
      <c r="E40" s="14">
        <v>0.6</v>
      </c>
      <c r="F40" s="14">
        <v>4.5999999999999999E-2</v>
      </c>
      <c r="G40" s="14">
        <v>0.1048</v>
      </c>
      <c r="H40" s="14">
        <v>4.3529999999999998</v>
      </c>
      <c r="I40" s="14">
        <v>330</v>
      </c>
      <c r="J40" s="14">
        <f t="shared" si="14"/>
        <v>41.536259541984727</v>
      </c>
      <c r="K40" s="14">
        <v>101</v>
      </c>
      <c r="L40" s="14">
        <f t="shared" si="5"/>
        <v>266</v>
      </c>
      <c r="M40" s="14">
        <f t="shared" si="6"/>
        <v>5.1253998644325787</v>
      </c>
      <c r="N40" s="14">
        <f t="shared" si="7"/>
        <v>1.2010797826164512</v>
      </c>
      <c r="O40" s="14">
        <f t="shared" si="7"/>
        <v>3.1632398235245152</v>
      </c>
      <c r="P40" s="14">
        <f t="shared" si="8"/>
        <v>9.2681255651603891</v>
      </c>
      <c r="Q40" s="14">
        <f t="shared" si="9"/>
        <v>7.2264763573919151</v>
      </c>
      <c r="R40" s="14">
        <f t="shared" si="10"/>
        <v>39.550119985981468</v>
      </c>
      <c r="S40" s="14">
        <f t="shared" si="11"/>
        <v>15.017150821744844</v>
      </c>
      <c r="T40" s="14">
        <f t="shared" si="0"/>
        <v>139869.50135036171</v>
      </c>
      <c r="U40" s="14">
        <f t="shared" si="12"/>
        <v>2.1202013319525405E-2</v>
      </c>
      <c r="V40" s="14">
        <f t="shared" si="1"/>
        <v>7.1342520169370394</v>
      </c>
      <c r="W40" s="14">
        <f t="shared" si="2"/>
        <v>81.927606273302445</v>
      </c>
      <c r="X40" s="14">
        <f t="shared" si="3"/>
        <v>1.7238791946268851E-2</v>
      </c>
      <c r="Y40" s="14">
        <f t="shared" si="4"/>
        <v>20.837066122925055</v>
      </c>
      <c r="Z40" s="14">
        <f t="shared" si="13"/>
        <v>0.11110165298533936</v>
      </c>
    </row>
    <row r="41" spans="1:26">
      <c r="A41" s="14">
        <v>5.2999999999999999E-2</v>
      </c>
      <c r="B41" s="14">
        <v>0</v>
      </c>
      <c r="C41" s="14">
        <v>50</v>
      </c>
      <c r="D41" s="14">
        <v>9</v>
      </c>
      <c r="E41" s="14">
        <v>0.6</v>
      </c>
      <c r="F41" s="14">
        <v>4.5999999999999999E-2</v>
      </c>
      <c r="G41" s="14">
        <v>1.23E-2</v>
      </c>
      <c r="H41" s="14">
        <v>1.323</v>
      </c>
      <c r="I41" s="14">
        <v>60</v>
      </c>
      <c r="J41" s="14">
        <f t="shared" si="14"/>
        <v>107.5609756097561</v>
      </c>
      <c r="K41" s="14">
        <v>101</v>
      </c>
      <c r="L41" s="14">
        <f t="shared" si="5"/>
        <v>131</v>
      </c>
      <c r="M41" s="14">
        <f t="shared" si="6"/>
        <v>1.9145925247648381</v>
      </c>
      <c r="N41" s="14">
        <f t="shared" si="7"/>
        <v>1.2010797826164512</v>
      </c>
      <c r="O41" s="14">
        <f t="shared" si="7"/>
        <v>1.5578361536906447</v>
      </c>
      <c r="P41" s="14">
        <f t="shared" si="8"/>
        <v>2.9119715790256966</v>
      </c>
      <c r="Q41" s="14">
        <f t="shared" si="9"/>
        <v>3.6356028962271454</v>
      </c>
      <c r="R41" s="14">
        <f t="shared" si="10"/>
        <v>4.6418556853775961</v>
      </c>
      <c r="S41" s="14">
        <f t="shared" si="11"/>
        <v>3.5788352994132606</v>
      </c>
      <c r="T41" s="14">
        <f t="shared" si="0"/>
        <v>16415.981551616878</v>
      </c>
      <c r="U41" s="14">
        <f t="shared" si="12"/>
        <v>2.898223448299414E-2</v>
      </c>
      <c r="V41" s="14">
        <f t="shared" si="1"/>
        <v>0.272772891908865</v>
      </c>
      <c r="W41" s="14">
        <f t="shared" si="2"/>
        <v>5.8484759035160021</v>
      </c>
      <c r="X41" s="14">
        <f t="shared" si="3"/>
        <v>5.3222276409657883E-2</v>
      </c>
      <c r="Y41" s="14">
        <f t="shared" si="4"/>
        <v>4.9658173286074669</v>
      </c>
      <c r="Z41" s="14">
        <f t="shared" si="13"/>
        <v>0.55197678491428559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41"/>
  <sheetViews>
    <sheetView topLeftCell="I1" workbookViewId="0">
      <selection activeCell="W2" sqref="W2"/>
    </sheetView>
  </sheetViews>
  <sheetFormatPr defaultRowHeight="15"/>
  <cols>
    <col min="1" max="1" width="9.42578125" style="18" hidden="1" customWidth="1"/>
    <col min="2" max="6" width="9" style="18" hidden="1" customWidth="1"/>
    <col min="7" max="7" width="0" style="18" hidden="1" customWidth="1"/>
    <col min="8" max="8" width="9" style="18" hidden="1" customWidth="1"/>
    <col min="9" max="9" width="9.140625" style="14"/>
    <col min="10" max="10" width="8.85546875" style="18" customWidth="1"/>
    <col min="11" max="11" width="9" style="18" hidden="1" customWidth="1"/>
    <col min="12" max="12" width="9.140625" style="18"/>
    <col min="13" max="14" width="0" style="18" hidden="1" customWidth="1"/>
    <col min="15" max="15" width="8.28515625" style="18" customWidth="1"/>
    <col min="16" max="18" width="9" style="18" hidden="1" customWidth="1"/>
    <col min="19" max="25" width="9.140625" style="18"/>
    <col min="26" max="26" width="11.28515625" style="18" customWidth="1"/>
    <col min="27" max="27" width="9.140625" style="18"/>
    <col min="28" max="28" width="12" style="18" customWidth="1"/>
    <col min="29" max="16384" width="9.140625" style="18"/>
  </cols>
  <sheetData>
    <row r="1" spans="1:28" ht="15.75">
      <c r="A1" s="18" t="s">
        <v>58</v>
      </c>
      <c r="B1" s="18" t="s">
        <v>59</v>
      </c>
      <c r="C1" s="19" t="s">
        <v>40</v>
      </c>
      <c r="D1" s="18" t="s">
        <v>60</v>
      </c>
      <c r="E1" s="18" t="s">
        <v>61</v>
      </c>
      <c r="F1" s="18" t="s">
        <v>62</v>
      </c>
      <c r="G1" s="18" t="s">
        <v>63</v>
      </c>
      <c r="H1" s="18" t="s">
        <v>64</v>
      </c>
      <c r="I1" s="15" t="s">
        <v>43</v>
      </c>
      <c r="J1" s="15" t="s">
        <v>36</v>
      </c>
      <c r="K1" s="15" t="s">
        <v>65</v>
      </c>
      <c r="L1" s="15" t="s">
        <v>66</v>
      </c>
      <c r="M1" s="15" t="s">
        <v>67</v>
      </c>
      <c r="N1" s="15" t="s">
        <v>68</v>
      </c>
      <c r="O1" s="15" t="s">
        <v>27</v>
      </c>
      <c r="P1" s="15" t="s">
        <v>69</v>
      </c>
      <c r="Q1" s="15" t="s">
        <v>70</v>
      </c>
      <c r="R1" s="15" t="s">
        <v>71</v>
      </c>
      <c r="S1" s="15" t="s">
        <v>72</v>
      </c>
      <c r="T1" s="15" t="s">
        <v>73</v>
      </c>
      <c r="U1" s="28" t="s">
        <v>54</v>
      </c>
      <c r="V1" s="15" t="s">
        <v>55</v>
      </c>
      <c r="W1" s="15" t="s">
        <v>74</v>
      </c>
      <c r="X1" s="15" t="s">
        <v>53</v>
      </c>
      <c r="Y1" s="15" t="s">
        <v>52</v>
      </c>
      <c r="Z1" s="15" t="s">
        <v>76</v>
      </c>
      <c r="AA1" s="15" t="s">
        <v>75</v>
      </c>
      <c r="AB1" s="15" t="s">
        <v>77</v>
      </c>
    </row>
    <row r="2" spans="1:28">
      <c r="A2" s="18">
        <v>1</v>
      </c>
      <c r="B2" s="18">
        <v>9</v>
      </c>
      <c r="C2" s="18">
        <v>4.6E-5</v>
      </c>
      <c r="D2" s="18">
        <v>5.2999999999999999E-2</v>
      </c>
      <c r="E2" s="18">
        <v>50</v>
      </c>
      <c r="F2" s="18">
        <v>8.2900000000000001E-2</v>
      </c>
      <c r="G2" s="18">
        <v>1.28</v>
      </c>
      <c r="H2" s="18">
        <f t="shared" ref="H2:H41" si="0">G2/F2</f>
        <v>15.440289505428227</v>
      </c>
      <c r="I2" s="14">
        <f>G2/F2</f>
        <v>15.440289505428227</v>
      </c>
      <c r="J2" s="14">
        <v>135</v>
      </c>
      <c r="K2" s="14">
        <v>101</v>
      </c>
      <c r="L2" s="14">
        <f t="shared" ref="L2:L41" si="1">(2*K2+J2)/2</f>
        <v>168.5</v>
      </c>
      <c r="M2" s="14">
        <f t="shared" ref="M2:M41" si="2">(K2+J2)*1000/(287*293)</f>
        <v>2.8064834524503217</v>
      </c>
      <c r="N2" s="14">
        <f>K2*1000/(287*293)</f>
        <v>1.2010797826164512</v>
      </c>
      <c r="O2" s="14">
        <f>L2*1000/(287*293)</f>
        <v>2.0037816175333862</v>
      </c>
      <c r="P2" s="14">
        <f>(4*F2*287*293)/((K2+I2)*10^3*PI()*0.053^2)</f>
        <v>27.13683228188075</v>
      </c>
      <c r="Q2" s="14">
        <f>106.48*H2^(-0.7214)</f>
        <v>14.783321053570852</v>
      </c>
      <c r="R2" s="14">
        <f t="shared" ref="R2:R41" si="3">4*F2/(N2*PI()*0.053^2)</f>
        <v>31.285352546162823</v>
      </c>
      <c r="S2" s="14">
        <f t="shared" ref="S2:S41" si="4">4*F2/(O2*PI()*0.053^2)</f>
        <v>18.75264455289285</v>
      </c>
      <c r="T2" s="14">
        <f t="shared" ref="T2:T41" si="5">S2*D2*O2/(1.8*10^-5)</f>
        <v>110641.04639260481</v>
      </c>
      <c r="U2" s="14">
        <f t="shared" ref="U2:U41" si="6">1.325/(LN(C2/(3.7*D2)+5.74/T2^0.9))^2</f>
        <v>2.16489090294338E-2</v>
      </c>
      <c r="V2" s="14">
        <f>(7.0228*W2^-1.397)/H2^0.5</f>
        <v>1.8836158952346468E-2</v>
      </c>
      <c r="W2" s="14">
        <f t="shared" ref="W2:W41" si="7">S2/(9.8*D2)^0.5</f>
        <v>26.020255051479694</v>
      </c>
      <c r="X2" s="14">
        <f t="shared" ref="X2:X41" si="8">U2*E2*O2*S2^2/(2*D2*1000)</f>
        <v>7.1957420478535026</v>
      </c>
      <c r="Y2" s="14">
        <f t="shared" ref="Y2:Y41" si="9">B2*0.6*(1+H2)*O2*S2^2/(2*1000)</f>
        <v>31.278697284715012</v>
      </c>
      <c r="Z2" s="14">
        <f>O2*S2^2*E2*H2*V2/(2*D2*1000)</f>
        <v>96.669029081332312</v>
      </c>
      <c r="AA2" s="14">
        <f>X2+Y2+Z2</f>
        <v>135.14346841390082</v>
      </c>
      <c r="AB2" s="14">
        <f>I2/AA2</f>
        <v>0.11425109690199459</v>
      </c>
    </row>
    <row r="3" spans="1:28">
      <c r="A3" s="18">
        <v>2</v>
      </c>
      <c r="B3" s="18">
        <v>9</v>
      </c>
      <c r="C3" s="18">
        <v>4.6E-5</v>
      </c>
      <c r="D3" s="18">
        <v>5.2999999999999999E-2</v>
      </c>
      <c r="E3" s="18">
        <v>50</v>
      </c>
      <c r="F3" s="18">
        <v>7.4499999999999997E-2</v>
      </c>
      <c r="G3" s="18">
        <v>1.18</v>
      </c>
      <c r="H3" s="18">
        <f t="shared" si="0"/>
        <v>15.838926174496644</v>
      </c>
      <c r="I3" s="14">
        <f>G3/F3</f>
        <v>15.838926174496644</v>
      </c>
      <c r="J3" s="14">
        <v>123</v>
      </c>
      <c r="K3" s="14">
        <v>101</v>
      </c>
      <c r="L3" s="14">
        <f t="shared" si="1"/>
        <v>162.5</v>
      </c>
      <c r="M3" s="14">
        <f t="shared" si="2"/>
        <v>2.6637809040206442</v>
      </c>
      <c r="N3" s="14">
        <f t="shared" ref="N3:O41" si="10">K3*1000/(287*293)</f>
        <v>1.2010797826164512</v>
      </c>
      <c r="O3" s="14">
        <f t="shared" si="10"/>
        <v>1.9324303433185477</v>
      </c>
      <c r="P3" s="14">
        <f t="shared" ref="P3:P41" si="11">(4*F3*287*293)/((K3+I3)*10^3*PI()*0.053^2)</f>
        <v>24.303935972697673</v>
      </c>
      <c r="Q3" s="14">
        <f t="shared" ref="Q3:Q41" si="12">106.48*H3^-0.7214</f>
        <v>14.513959188265387</v>
      </c>
      <c r="R3" s="14">
        <f t="shared" si="3"/>
        <v>28.115304761026902</v>
      </c>
      <c r="S3" s="14">
        <f t="shared" si="4"/>
        <v>17.474743266853643</v>
      </c>
      <c r="T3" s="14">
        <f t="shared" si="5"/>
        <v>99430.132162232316</v>
      </c>
      <c r="U3" s="14">
        <f t="shared" si="6"/>
        <v>2.1877250712210323E-2</v>
      </c>
      <c r="V3" s="14">
        <f t="shared" ref="V3:V41" si="13">(7.0228*W3^-1.397)/H3^0.5</f>
        <v>2.0524739267844046E-2</v>
      </c>
      <c r="W3" s="14">
        <f t="shared" si="7"/>
        <v>24.247101547739625</v>
      </c>
      <c r="X3" s="14">
        <f t="shared" si="8"/>
        <v>6.0895098743356915</v>
      </c>
      <c r="Y3" s="14">
        <f t="shared" si="9"/>
        <v>26.828946114262763</v>
      </c>
      <c r="Z3" s="14">
        <f t="shared" ref="Z3:Z41" si="14">O3*S3^2*E3*H3*V3/(2*D3*1000)</f>
        <v>90.488414470312406</v>
      </c>
      <c r="AA3" s="14">
        <f t="shared" ref="AA3:AA41" si="15">X3+Y3+Z3</f>
        <v>123.40687045891086</v>
      </c>
      <c r="AB3" s="14">
        <f t="shared" ref="AB3:AB41" si="16">I3/AA3</f>
        <v>0.12834719911133571</v>
      </c>
    </row>
    <row r="4" spans="1:28">
      <c r="A4" s="18">
        <v>3</v>
      </c>
      <c r="B4" s="18">
        <v>9</v>
      </c>
      <c r="C4" s="18">
        <v>4.6E-5</v>
      </c>
      <c r="D4" s="18">
        <v>5.2999999999999999E-2</v>
      </c>
      <c r="E4" s="18">
        <v>50</v>
      </c>
      <c r="F4" s="18">
        <v>8.2600000000000007E-2</v>
      </c>
      <c r="G4" s="18">
        <v>2.0499999999999998</v>
      </c>
      <c r="H4" s="18">
        <f t="shared" si="0"/>
        <v>24.818401937046001</v>
      </c>
      <c r="I4" s="14">
        <f>G4/F4</f>
        <v>24.818401937046001</v>
      </c>
      <c r="J4" s="14">
        <v>178</v>
      </c>
      <c r="K4" s="14">
        <v>101</v>
      </c>
      <c r="L4" s="14">
        <f t="shared" si="1"/>
        <v>190</v>
      </c>
      <c r="M4" s="14">
        <f t="shared" si="2"/>
        <v>3.317834250989999</v>
      </c>
      <c r="N4" s="14">
        <f t="shared" si="10"/>
        <v>1.2010797826164512</v>
      </c>
      <c r="O4" s="14">
        <f t="shared" si="10"/>
        <v>2.2594570168032249</v>
      </c>
      <c r="P4" s="14">
        <f t="shared" si="11"/>
        <v>25.023253701098543</v>
      </c>
      <c r="Q4" s="14">
        <f t="shared" si="12"/>
        <v>10.497314605357042</v>
      </c>
      <c r="R4" s="14">
        <f t="shared" si="3"/>
        <v>31.172136553836541</v>
      </c>
      <c r="S4" s="14">
        <f t="shared" si="4"/>
        <v>16.570451536513108</v>
      </c>
      <c r="T4" s="14">
        <f t="shared" si="5"/>
        <v>110240.65659866294</v>
      </c>
      <c r="U4" s="14">
        <f t="shared" si="6"/>
        <v>2.1656394219587635E-2</v>
      </c>
      <c r="V4" s="14">
        <f t="shared" si="13"/>
        <v>1.7660029527005357E-2</v>
      </c>
      <c r="W4" s="14">
        <f t="shared" si="7"/>
        <v>22.992350443273413</v>
      </c>
      <c r="X4" s="14">
        <f t="shared" si="8"/>
        <v>6.3375742015300984</v>
      </c>
      <c r="Y4" s="14">
        <f t="shared" si="9"/>
        <v>43.247986356810713</v>
      </c>
      <c r="Z4" s="14">
        <f t="shared" si="14"/>
        <v>128.26322274597439</v>
      </c>
      <c r="AA4" s="14">
        <f t="shared" si="15"/>
        <v>177.84878330431519</v>
      </c>
      <c r="AB4" s="14">
        <f t="shared" si="16"/>
        <v>0.13954777466528681</v>
      </c>
    </row>
    <row r="5" spans="1:28">
      <c r="A5" s="18">
        <v>4</v>
      </c>
      <c r="B5" s="18">
        <v>9</v>
      </c>
      <c r="C5" s="18">
        <v>4.6E-5</v>
      </c>
      <c r="D5" s="18">
        <v>5.2999999999999999E-2</v>
      </c>
      <c r="E5" s="18">
        <v>50</v>
      </c>
      <c r="F5" s="18">
        <v>6.6100000000000006E-2</v>
      </c>
      <c r="G5" s="18">
        <v>1.8939999999999999</v>
      </c>
      <c r="H5" s="18">
        <f t="shared" si="0"/>
        <v>28.653555219364595</v>
      </c>
      <c r="I5" s="14">
        <f t="shared" ref="I5:I41" si="17">G5/F5</f>
        <v>28.653555219364595</v>
      </c>
      <c r="J5" s="14">
        <v>156</v>
      </c>
      <c r="K5" s="14">
        <v>101</v>
      </c>
      <c r="L5" s="14">
        <f t="shared" si="1"/>
        <v>179</v>
      </c>
      <c r="M5" s="14">
        <f t="shared" si="2"/>
        <v>3.0562129122022572</v>
      </c>
      <c r="N5" s="14">
        <f t="shared" si="10"/>
        <v>1.2010797826164512</v>
      </c>
      <c r="O5" s="14">
        <f t="shared" si="10"/>
        <v>2.128646347409354</v>
      </c>
      <c r="P5" s="14">
        <f t="shared" si="11"/>
        <v>19.432332189443038</v>
      </c>
      <c r="Q5" s="14">
        <f t="shared" si="12"/>
        <v>9.463667247005592</v>
      </c>
      <c r="R5" s="14">
        <f t="shared" si="3"/>
        <v>24.945256975890985</v>
      </c>
      <c r="S5" s="14">
        <f t="shared" si="4"/>
        <v>14.075256729413349</v>
      </c>
      <c r="T5" s="14">
        <f t="shared" si="5"/>
        <v>88219.217931859806</v>
      </c>
      <c r="U5" s="14">
        <f t="shared" si="6"/>
        <v>2.2152713937220556E-2</v>
      </c>
      <c r="V5" s="14">
        <f t="shared" si="13"/>
        <v>2.0644561638078811E-2</v>
      </c>
      <c r="W5" s="14">
        <f t="shared" si="7"/>
        <v>19.530139814754474</v>
      </c>
      <c r="X5" s="14">
        <f t="shared" si="8"/>
        <v>4.4066366525757399</v>
      </c>
      <c r="Y5" s="14">
        <f t="shared" si="9"/>
        <v>33.764218127830546</v>
      </c>
      <c r="Z5" s="14">
        <f t="shared" si="14"/>
        <v>117.66965599267127</v>
      </c>
      <c r="AA5" s="14">
        <f t="shared" si="15"/>
        <v>155.84051077307754</v>
      </c>
      <c r="AB5" s="14">
        <f t="shared" si="16"/>
        <v>0.18386461310491728</v>
      </c>
    </row>
    <row r="6" spans="1:28">
      <c r="A6" s="18">
        <v>5</v>
      </c>
      <c r="B6" s="18">
        <v>9</v>
      </c>
      <c r="C6" s="18">
        <v>4.6E-5</v>
      </c>
      <c r="D6" s="18">
        <v>5.2999999999999999E-2</v>
      </c>
      <c r="E6" s="18">
        <v>50</v>
      </c>
      <c r="F6" s="18">
        <v>0.05</v>
      </c>
      <c r="G6" s="18">
        <v>1.59</v>
      </c>
      <c r="H6" s="18">
        <f t="shared" si="0"/>
        <v>31.8</v>
      </c>
      <c r="I6" s="14">
        <f t="shared" si="17"/>
        <v>31.8</v>
      </c>
      <c r="J6" s="14">
        <v>127</v>
      </c>
      <c r="K6" s="14">
        <v>101</v>
      </c>
      <c r="L6" s="14">
        <f t="shared" si="1"/>
        <v>164.5</v>
      </c>
      <c r="M6" s="14">
        <f t="shared" si="2"/>
        <v>2.71134842016387</v>
      </c>
      <c r="N6" s="14">
        <f t="shared" si="10"/>
        <v>1.2010797826164512</v>
      </c>
      <c r="O6" s="14">
        <f t="shared" si="10"/>
        <v>1.9562141013901606</v>
      </c>
      <c r="P6" s="14">
        <f t="shared" si="11"/>
        <v>14.350922722081531</v>
      </c>
      <c r="Q6" s="14">
        <f t="shared" si="12"/>
        <v>8.7784354116163659</v>
      </c>
      <c r="R6" s="14">
        <f t="shared" si="3"/>
        <v>18.869332054380472</v>
      </c>
      <c r="S6" s="14">
        <f t="shared" si="4"/>
        <v>11.585425759832386</v>
      </c>
      <c r="T6" s="14">
        <f t="shared" si="5"/>
        <v>66731.632323645841</v>
      </c>
      <c r="U6" s="14">
        <f t="shared" si="6"/>
        <v>2.2883463271875414E-2</v>
      </c>
      <c r="V6" s="14">
        <f t="shared" si="13"/>
        <v>2.5721114769269665E-2</v>
      </c>
      <c r="W6" s="14">
        <f t="shared" si="7"/>
        <v>16.075371785592662</v>
      </c>
      <c r="X6" s="14">
        <f t="shared" si="8"/>
        <v>2.8341724644695208</v>
      </c>
      <c r="Y6" s="14">
        <f t="shared" si="9"/>
        <v>23.252946383130361</v>
      </c>
      <c r="Z6" s="14">
        <f t="shared" si="14"/>
        <v>101.30279516330796</v>
      </c>
      <c r="AA6" s="14">
        <f t="shared" si="15"/>
        <v>127.38991401090784</v>
      </c>
      <c r="AB6" s="14">
        <f t="shared" si="16"/>
        <v>0.24962729778808945</v>
      </c>
    </row>
    <row r="7" spans="1:28">
      <c r="A7" s="18">
        <v>6</v>
      </c>
      <c r="B7" s="18">
        <v>9</v>
      </c>
      <c r="C7" s="18">
        <v>4.6E-5</v>
      </c>
      <c r="D7" s="18">
        <v>5.2999999999999999E-2</v>
      </c>
      <c r="E7" s="18">
        <v>50</v>
      </c>
      <c r="F7" s="18">
        <v>5.8099999999999999E-2</v>
      </c>
      <c r="G7" s="18">
        <v>2.36</v>
      </c>
      <c r="H7" s="18">
        <f t="shared" si="0"/>
        <v>40.619621342512907</v>
      </c>
      <c r="I7" s="14">
        <f t="shared" si="17"/>
        <v>40.619621342512907</v>
      </c>
      <c r="J7" s="14">
        <v>170</v>
      </c>
      <c r="K7" s="14">
        <v>101</v>
      </c>
      <c r="L7" s="14">
        <f t="shared" si="1"/>
        <v>186</v>
      </c>
      <c r="M7" s="14">
        <f t="shared" si="2"/>
        <v>3.2226992187035473</v>
      </c>
      <c r="N7" s="14">
        <f t="shared" si="10"/>
        <v>1.2010797826164512</v>
      </c>
      <c r="O7" s="14">
        <f t="shared" si="10"/>
        <v>2.2118895006599995</v>
      </c>
      <c r="P7" s="14">
        <f t="shared" si="11"/>
        <v>15.637257941893784</v>
      </c>
      <c r="Q7" s="14">
        <f t="shared" si="12"/>
        <v>7.3574274012352765</v>
      </c>
      <c r="R7" s="14">
        <f t="shared" si="3"/>
        <v>21.926163847190107</v>
      </c>
      <c r="S7" s="14">
        <f t="shared" si="4"/>
        <v>11.906142734226885</v>
      </c>
      <c r="T7" s="14">
        <f t="shared" si="5"/>
        <v>77542.156760076468</v>
      </c>
      <c r="U7" s="14">
        <f t="shared" si="6"/>
        <v>2.2474525542128015E-2</v>
      </c>
      <c r="V7" s="14">
        <f t="shared" si="13"/>
        <v>2.1906261550908121E-2</v>
      </c>
      <c r="W7" s="14">
        <f t="shared" si="7"/>
        <v>16.520383018517478</v>
      </c>
      <c r="X7" s="14">
        <f t="shared" si="8"/>
        <v>3.3239942797227866</v>
      </c>
      <c r="Y7" s="14">
        <f t="shared" si="9"/>
        <v>35.234449080336304</v>
      </c>
      <c r="Z7" s="14">
        <f t="shared" si="14"/>
        <v>131.60545009277971</v>
      </c>
      <c r="AA7" s="14">
        <f t="shared" si="15"/>
        <v>170.16389345283881</v>
      </c>
      <c r="AB7" s="14">
        <f t="shared" si="16"/>
        <v>0.2387088148859893</v>
      </c>
    </row>
    <row r="8" spans="1:28">
      <c r="A8" s="18">
        <v>7</v>
      </c>
      <c r="B8" s="18">
        <v>9</v>
      </c>
      <c r="C8" s="18">
        <v>4.6E-5</v>
      </c>
      <c r="D8" s="18">
        <v>5.2999999999999999E-2</v>
      </c>
      <c r="E8" s="18">
        <v>50</v>
      </c>
      <c r="F8" s="18">
        <v>4.6399999999999997E-2</v>
      </c>
      <c r="G8" s="18">
        <v>2.0489999999999999</v>
      </c>
      <c r="H8" s="18">
        <f t="shared" si="0"/>
        <v>44.15948275862069</v>
      </c>
      <c r="I8" s="14">
        <f t="shared" si="17"/>
        <v>44.15948275862069</v>
      </c>
      <c r="J8" s="14">
        <v>145</v>
      </c>
      <c r="K8" s="14">
        <v>101</v>
      </c>
      <c r="L8" s="14">
        <f t="shared" si="1"/>
        <v>173.5</v>
      </c>
      <c r="M8" s="14">
        <f t="shared" si="2"/>
        <v>2.9254022428083863</v>
      </c>
      <c r="N8" s="14">
        <f t="shared" si="10"/>
        <v>1.2010797826164512</v>
      </c>
      <c r="O8" s="14">
        <f t="shared" si="10"/>
        <v>2.0632410127124188</v>
      </c>
      <c r="P8" s="14">
        <f t="shared" si="11"/>
        <v>12.18373557953409</v>
      </c>
      <c r="Q8" s="14">
        <f t="shared" si="12"/>
        <v>6.9270407876604372</v>
      </c>
      <c r="R8" s="14">
        <f t="shared" si="3"/>
        <v>17.510740146465075</v>
      </c>
      <c r="S8" s="14">
        <f t="shared" si="4"/>
        <v>10.19357207373471</v>
      </c>
      <c r="T8" s="14">
        <f t="shared" si="5"/>
        <v>61926.954796343329</v>
      </c>
      <c r="U8" s="14">
        <f t="shared" si="6"/>
        <v>2.310150944714506E-2</v>
      </c>
      <c r="V8" s="14">
        <f t="shared" si="13"/>
        <v>2.6100236487953728E-2</v>
      </c>
      <c r="W8" s="14">
        <f t="shared" si="7"/>
        <v>14.144103488769064</v>
      </c>
      <c r="X8" s="14">
        <f t="shared" si="8"/>
        <v>2.3361851259022783</v>
      </c>
      <c r="Y8" s="14">
        <f t="shared" si="9"/>
        <v>26.140595755361353</v>
      </c>
      <c r="Z8" s="14">
        <f t="shared" si="14"/>
        <v>116.55618315973896</v>
      </c>
      <c r="AA8" s="14">
        <f t="shared" si="15"/>
        <v>145.0329640410026</v>
      </c>
      <c r="AB8" s="14">
        <f t="shared" si="16"/>
        <v>0.30447893725826536</v>
      </c>
    </row>
    <row r="9" spans="1:28">
      <c r="A9" s="18">
        <v>8</v>
      </c>
      <c r="B9" s="18">
        <v>9</v>
      </c>
      <c r="C9" s="18">
        <v>4.6E-5</v>
      </c>
      <c r="D9" s="18">
        <v>5.2999999999999999E-2</v>
      </c>
      <c r="E9" s="18">
        <v>50</v>
      </c>
      <c r="F9" s="18">
        <v>3.5000000000000003E-2</v>
      </c>
      <c r="G9" s="18">
        <v>1.5880000000000001</v>
      </c>
      <c r="H9" s="18">
        <f t="shared" si="0"/>
        <v>45.371428571428567</v>
      </c>
      <c r="I9" s="14">
        <f t="shared" si="17"/>
        <v>45.371428571428567</v>
      </c>
      <c r="J9" s="14">
        <v>114</v>
      </c>
      <c r="K9" s="14">
        <v>101</v>
      </c>
      <c r="L9" s="14">
        <f t="shared" si="1"/>
        <v>158</v>
      </c>
      <c r="M9" s="14">
        <f t="shared" si="2"/>
        <v>2.5567539926983862</v>
      </c>
      <c r="N9" s="14">
        <f t="shared" si="10"/>
        <v>1.2010797826164512</v>
      </c>
      <c r="O9" s="14">
        <f t="shared" si="10"/>
        <v>1.8789168876574187</v>
      </c>
      <c r="P9" s="14">
        <f t="shared" si="11"/>
        <v>9.1142225587672208</v>
      </c>
      <c r="Q9" s="14">
        <f t="shared" si="12"/>
        <v>6.7930557737242845</v>
      </c>
      <c r="R9" s="14">
        <f t="shared" si="3"/>
        <v>13.208532438066332</v>
      </c>
      <c r="S9" s="14">
        <f t="shared" si="4"/>
        <v>8.4434289635740463</v>
      </c>
      <c r="T9" s="14">
        <f t="shared" si="5"/>
        <v>46712.142626552093</v>
      </c>
      <c r="U9" s="14">
        <f t="shared" si="6"/>
        <v>2.4017690447355848E-2</v>
      </c>
      <c r="V9" s="14">
        <f t="shared" si="13"/>
        <v>3.350042706353841E-2</v>
      </c>
      <c r="W9" s="14">
        <f t="shared" si="7"/>
        <v>11.715690260196171</v>
      </c>
      <c r="X9" s="14">
        <f t="shared" si="8"/>
        <v>1.5175417913425144</v>
      </c>
      <c r="Y9" s="14">
        <f t="shared" si="9"/>
        <v>16.771021563277014</v>
      </c>
      <c r="Z9" s="14">
        <f t="shared" si="14"/>
        <v>96.037802462527381</v>
      </c>
      <c r="AA9" s="14">
        <f t="shared" si="15"/>
        <v>114.32636581714691</v>
      </c>
      <c r="AB9" s="14">
        <f t="shared" si="16"/>
        <v>0.39685883695450824</v>
      </c>
    </row>
    <row r="10" spans="1:28">
      <c r="A10" s="18">
        <v>9</v>
      </c>
      <c r="B10" s="18">
        <v>9</v>
      </c>
      <c r="C10" s="18">
        <v>4.6E-5</v>
      </c>
      <c r="D10" s="18">
        <v>5.2999999999999999E-2</v>
      </c>
      <c r="E10" s="18">
        <v>50</v>
      </c>
      <c r="F10" s="18">
        <v>4.7800000000000002E-2</v>
      </c>
      <c r="G10" s="18">
        <v>2.39</v>
      </c>
      <c r="H10" s="18">
        <f t="shared" si="0"/>
        <v>50</v>
      </c>
      <c r="I10" s="14">
        <f t="shared" si="17"/>
        <v>50</v>
      </c>
      <c r="J10" s="14">
        <v>161</v>
      </c>
      <c r="K10" s="14">
        <v>101</v>
      </c>
      <c r="L10" s="14">
        <f t="shared" si="1"/>
        <v>181.5</v>
      </c>
      <c r="M10" s="14">
        <f t="shared" si="2"/>
        <v>3.1156723073812893</v>
      </c>
      <c r="N10" s="14">
        <f t="shared" si="10"/>
        <v>1.2010797826164512</v>
      </c>
      <c r="O10" s="14">
        <f t="shared" si="10"/>
        <v>2.1583760449988705</v>
      </c>
      <c r="P10" s="14">
        <f t="shared" si="11"/>
        <v>12.065875667832852</v>
      </c>
      <c r="Q10" s="14">
        <f t="shared" si="12"/>
        <v>6.3333148873537137</v>
      </c>
      <c r="R10" s="14">
        <f t="shared" si="3"/>
        <v>18.03908144398773</v>
      </c>
      <c r="S10" s="14">
        <f t="shared" si="4"/>
        <v>10.038276726406394</v>
      </c>
      <c r="T10" s="14">
        <f t="shared" si="5"/>
        <v>63795.440501405421</v>
      </c>
      <c r="U10" s="14">
        <f t="shared" si="6"/>
        <v>2.301357825993687E-2</v>
      </c>
      <c r="V10" s="14">
        <f t="shared" si="13"/>
        <v>2.5060259009014509E-2</v>
      </c>
      <c r="W10" s="14">
        <f t="shared" si="7"/>
        <v>13.928623238269271</v>
      </c>
      <c r="X10" s="14">
        <f t="shared" si="8"/>
        <v>2.3609877239539672</v>
      </c>
      <c r="Y10" s="14">
        <f t="shared" si="9"/>
        <v>29.948796859955518</v>
      </c>
      <c r="Z10" s="14">
        <f t="shared" si="14"/>
        <v>128.5479450676967</v>
      </c>
      <c r="AA10" s="14">
        <f t="shared" si="15"/>
        <v>160.85772965160618</v>
      </c>
      <c r="AB10" s="14">
        <f t="shared" si="16"/>
        <v>0.31083367960179803</v>
      </c>
    </row>
    <row r="11" spans="1:28">
      <c r="A11" s="18">
        <v>10</v>
      </c>
      <c r="B11" s="18">
        <v>9</v>
      </c>
      <c r="C11" s="18">
        <v>4.6E-5</v>
      </c>
      <c r="D11" s="18">
        <v>5.2999999999999999E-2</v>
      </c>
      <c r="E11" s="18">
        <v>50</v>
      </c>
      <c r="F11" s="18">
        <v>3.8199999999999998E-2</v>
      </c>
      <c r="G11" s="18">
        <v>2.177</v>
      </c>
      <c r="H11" s="18">
        <f t="shared" si="0"/>
        <v>56.989528795811523</v>
      </c>
      <c r="I11" s="14">
        <f t="shared" si="17"/>
        <v>56.989528795811523</v>
      </c>
      <c r="J11" s="14">
        <v>142</v>
      </c>
      <c r="K11" s="14">
        <v>101</v>
      </c>
      <c r="L11" s="14">
        <f t="shared" si="1"/>
        <v>172</v>
      </c>
      <c r="M11" s="14">
        <f t="shared" si="2"/>
        <v>2.8897266057009667</v>
      </c>
      <c r="N11" s="14">
        <f t="shared" si="10"/>
        <v>1.2010797826164512</v>
      </c>
      <c r="O11" s="14">
        <f t="shared" si="10"/>
        <v>2.045403194158709</v>
      </c>
      <c r="P11" s="14">
        <f t="shared" si="11"/>
        <v>9.2160103884227524</v>
      </c>
      <c r="Q11" s="14">
        <f t="shared" si="12"/>
        <v>5.7628522052684978</v>
      </c>
      <c r="R11" s="14">
        <f t="shared" si="3"/>
        <v>14.416169689546679</v>
      </c>
      <c r="S11" s="14">
        <f t="shared" si="4"/>
        <v>8.4653089456058979</v>
      </c>
      <c r="T11" s="14">
        <f t="shared" si="5"/>
        <v>50982.96709526542</v>
      </c>
      <c r="U11" s="14">
        <f t="shared" si="6"/>
        <v>2.3717001914388212E-2</v>
      </c>
      <c r="V11" s="14">
        <f t="shared" si="13"/>
        <v>2.9783372078059488E-2</v>
      </c>
      <c r="W11" s="14">
        <f t="shared" si="7"/>
        <v>11.746049856219267</v>
      </c>
      <c r="X11" s="14">
        <f t="shared" si="8"/>
        <v>1.6397909400605923</v>
      </c>
      <c r="Y11" s="14">
        <f t="shared" si="9"/>
        <v>22.949746823164066</v>
      </c>
      <c r="Z11" s="14">
        <f t="shared" si="14"/>
        <v>117.35392706428766</v>
      </c>
      <c r="AA11" s="14">
        <f t="shared" si="15"/>
        <v>141.94346482751232</v>
      </c>
      <c r="AB11" s="14">
        <f t="shared" si="16"/>
        <v>0.40149455887288921</v>
      </c>
    </row>
    <row r="12" spans="1:28">
      <c r="A12" s="18">
        <v>11</v>
      </c>
      <c r="B12" s="18">
        <v>9</v>
      </c>
      <c r="C12" s="18">
        <v>4.6E-5</v>
      </c>
      <c r="D12" s="18">
        <v>5.2999999999999999E-2</v>
      </c>
      <c r="E12" s="18">
        <v>50</v>
      </c>
      <c r="F12" s="18">
        <v>2.8500000000000001E-2</v>
      </c>
      <c r="G12" s="18">
        <v>1.6220000000000001</v>
      </c>
      <c r="H12" s="18">
        <f t="shared" si="0"/>
        <v>56.912280701754391</v>
      </c>
      <c r="I12" s="14">
        <f t="shared" si="17"/>
        <v>56.912280701754391</v>
      </c>
      <c r="J12" s="14">
        <v>110</v>
      </c>
      <c r="K12" s="14">
        <v>101</v>
      </c>
      <c r="L12" s="14">
        <f t="shared" si="1"/>
        <v>156</v>
      </c>
      <c r="M12" s="14">
        <f t="shared" si="2"/>
        <v>2.5091864765551604</v>
      </c>
      <c r="N12" s="14">
        <f t="shared" si="10"/>
        <v>1.2010797826164512</v>
      </c>
      <c r="O12" s="14">
        <f t="shared" si="10"/>
        <v>1.8551331295858058</v>
      </c>
      <c r="P12" s="14">
        <f t="shared" si="11"/>
        <v>6.8791828067024756</v>
      </c>
      <c r="Q12" s="14">
        <f t="shared" si="12"/>
        <v>5.7684939486548439</v>
      </c>
      <c r="R12" s="14">
        <f t="shared" si="3"/>
        <v>10.755519270996869</v>
      </c>
      <c r="S12" s="14">
        <f t="shared" si="4"/>
        <v>6.9635092716069469</v>
      </c>
      <c r="T12" s="14">
        <f t="shared" si="5"/>
        <v>38037.030424478136</v>
      </c>
      <c r="U12" s="14">
        <f t="shared" si="6"/>
        <v>2.4785768018762953E-2</v>
      </c>
      <c r="V12" s="14">
        <f t="shared" si="13"/>
        <v>3.9152047359863641E-2</v>
      </c>
      <c r="W12" s="14">
        <f t="shared" si="7"/>
        <v>9.6622258684365114</v>
      </c>
      <c r="X12" s="14">
        <f t="shared" si="8"/>
        <v>1.0517146349430653</v>
      </c>
      <c r="Y12" s="14">
        <f t="shared" si="9"/>
        <v>14.065845099758709</v>
      </c>
      <c r="Z12" s="14">
        <f t="shared" si="14"/>
        <v>94.548796231269748</v>
      </c>
      <c r="AA12" s="14">
        <f t="shared" si="15"/>
        <v>109.66635596597152</v>
      </c>
      <c r="AB12" s="14">
        <f t="shared" si="16"/>
        <v>0.51895843716566781</v>
      </c>
    </row>
    <row r="13" spans="1:28">
      <c r="A13" s="18">
        <v>12</v>
      </c>
      <c r="B13" s="18">
        <v>9</v>
      </c>
      <c r="C13" s="18">
        <v>4.6E-5</v>
      </c>
      <c r="D13" s="18">
        <v>5.2999999999999999E-2</v>
      </c>
      <c r="E13" s="18">
        <v>50</v>
      </c>
      <c r="F13" s="18">
        <v>9.2899999999999996E-2</v>
      </c>
      <c r="G13" s="18">
        <v>2.56</v>
      </c>
      <c r="H13" s="18">
        <f t="shared" si="0"/>
        <v>27.556512378902045</v>
      </c>
      <c r="I13" s="14">
        <f t="shared" si="17"/>
        <v>27.556512378902045</v>
      </c>
      <c r="J13" s="14">
        <v>213</v>
      </c>
      <c r="K13" s="14">
        <v>101</v>
      </c>
      <c r="L13" s="14">
        <f t="shared" si="1"/>
        <v>207.5</v>
      </c>
      <c r="M13" s="14">
        <f t="shared" si="2"/>
        <v>3.7340500172432245</v>
      </c>
      <c r="N13" s="14">
        <f t="shared" si="10"/>
        <v>1.2010797826164512</v>
      </c>
      <c r="O13" s="14">
        <f t="shared" si="10"/>
        <v>2.4675648999298381</v>
      </c>
      <c r="P13" s="14">
        <f t="shared" si="11"/>
        <v>27.544159756173158</v>
      </c>
      <c r="Q13" s="14">
        <f t="shared" si="12"/>
        <v>9.733975920416178</v>
      </c>
      <c r="R13" s="14">
        <f t="shared" si="3"/>
        <v>35.059218957038915</v>
      </c>
      <c r="S13" s="14">
        <f t="shared" si="4"/>
        <v>17.06496922728159</v>
      </c>
      <c r="T13" s="14">
        <f t="shared" si="5"/>
        <v>123987.37285733399</v>
      </c>
      <c r="U13" s="14">
        <f t="shared" si="6"/>
        <v>2.1422848058885571E-2</v>
      </c>
      <c r="V13" s="14">
        <f t="shared" si="13"/>
        <v>1.6085141542636801E-2</v>
      </c>
      <c r="W13" s="14">
        <f t="shared" si="7"/>
        <v>23.678519074314824</v>
      </c>
      <c r="X13" s="14">
        <f t="shared" si="8"/>
        <v>7.2614098425667013</v>
      </c>
      <c r="Y13" s="14">
        <f t="shared" si="9"/>
        <v>55.404945599520225</v>
      </c>
      <c r="Z13" s="14">
        <f t="shared" si="14"/>
        <v>150.24252719429248</v>
      </c>
      <c r="AA13" s="14">
        <f t="shared" si="15"/>
        <v>212.90888263637942</v>
      </c>
      <c r="AB13" s="14">
        <f t="shared" si="16"/>
        <v>0.12942866468359129</v>
      </c>
    </row>
    <row r="14" spans="1:28">
      <c r="A14" s="18">
        <v>13</v>
      </c>
      <c r="B14" s="18">
        <v>9</v>
      </c>
      <c r="C14" s="18">
        <v>4.6E-5</v>
      </c>
      <c r="D14" s="18">
        <v>5.2999999999999999E-2</v>
      </c>
      <c r="E14" s="18">
        <v>50</v>
      </c>
      <c r="F14" s="18">
        <v>7.4300000000000005E-2</v>
      </c>
      <c r="G14" s="18">
        <v>2.4300000000000002</v>
      </c>
      <c r="H14" s="18">
        <f t="shared" si="0"/>
        <v>32.705248990578738</v>
      </c>
      <c r="I14" s="14">
        <f t="shared" si="17"/>
        <v>32.705248990578738</v>
      </c>
      <c r="J14" s="14">
        <v>189</v>
      </c>
      <c r="K14" s="14">
        <v>101</v>
      </c>
      <c r="L14" s="14">
        <f t="shared" si="1"/>
        <v>195.5</v>
      </c>
      <c r="M14" s="14">
        <f t="shared" si="2"/>
        <v>3.4486449203838698</v>
      </c>
      <c r="N14" s="14">
        <f t="shared" si="10"/>
        <v>1.2010797826164512</v>
      </c>
      <c r="O14" s="14">
        <f t="shared" si="10"/>
        <v>2.3248623515001605</v>
      </c>
      <c r="P14" s="14">
        <f t="shared" si="11"/>
        <v>21.181087444916241</v>
      </c>
      <c r="Q14" s="14">
        <f t="shared" si="12"/>
        <v>8.6024668344935655</v>
      </c>
      <c r="R14" s="14">
        <f t="shared" si="3"/>
        <v>28.039827432809382</v>
      </c>
      <c r="S14" s="14">
        <f t="shared" si="4"/>
        <v>14.486048955057532</v>
      </c>
      <c r="T14" s="14">
        <f t="shared" si="5"/>
        <v>99163.205632937723</v>
      </c>
      <c r="U14" s="14">
        <f t="shared" si="6"/>
        <v>2.1883207042111046E-2</v>
      </c>
      <c r="V14" s="14">
        <f t="shared" si="13"/>
        <v>1.8562334784589341E-2</v>
      </c>
      <c r="W14" s="14">
        <f t="shared" si="7"/>
        <v>20.100135073518</v>
      </c>
      <c r="X14" s="14">
        <f t="shared" si="8"/>
        <v>5.035843791819989</v>
      </c>
      <c r="Y14" s="14">
        <f t="shared" si="9"/>
        <v>44.397492817435278</v>
      </c>
      <c r="Z14" s="14">
        <f t="shared" si="14"/>
        <v>139.70480448087233</v>
      </c>
      <c r="AA14" s="14">
        <f t="shared" si="15"/>
        <v>189.13814109012759</v>
      </c>
      <c r="AB14" s="14">
        <f t="shared" si="16"/>
        <v>0.17291725932208524</v>
      </c>
    </row>
    <row r="15" spans="1:28">
      <c r="A15" s="18">
        <v>14</v>
      </c>
      <c r="B15" s="18">
        <v>9</v>
      </c>
      <c r="C15" s="18">
        <v>4.6E-5</v>
      </c>
      <c r="D15" s="18">
        <v>5.2999999999999999E-2</v>
      </c>
      <c r="E15" s="18">
        <v>50</v>
      </c>
      <c r="F15" s="18">
        <v>5.6000000000000001E-2</v>
      </c>
      <c r="G15" s="18">
        <v>1.95</v>
      </c>
      <c r="H15" s="18">
        <f t="shared" si="0"/>
        <v>34.821428571428569</v>
      </c>
      <c r="I15" s="14">
        <f t="shared" si="17"/>
        <v>34.821428571428569</v>
      </c>
      <c r="J15" s="14">
        <v>150</v>
      </c>
      <c r="K15" s="14">
        <v>101</v>
      </c>
      <c r="L15" s="14">
        <f t="shared" si="1"/>
        <v>176</v>
      </c>
      <c r="M15" s="14">
        <f t="shared" si="2"/>
        <v>2.9848616379874184</v>
      </c>
      <c r="N15" s="14">
        <f t="shared" si="10"/>
        <v>1.2010797826164512</v>
      </c>
      <c r="O15" s="14">
        <f t="shared" si="10"/>
        <v>2.0929707103019348</v>
      </c>
      <c r="P15" s="14">
        <f t="shared" si="11"/>
        <v>15.71547924684789</v>
      </c>
      <c r="Q15" s="14">
        <f t="shared" si="12"/>
        <v>8.2220462708634781</v>
      </c>
      <c r="R15" s="14">
        <f t="shared" si="3"/>
        <v>21.133651900906127</v>
      </c>
      <c r="S15" s="14">
        <f t="shared" si="4"/>
        <v>12.127834329497267</v>
      </c>
      <c r="T15" s="14">
        <f t="shared" si="5"/>
        <v>74739.428202483352</v>
      </c>
      <c r="U15" s="14">
        <f t="shared" si="6"/>
        <v>2.2571285859138302E-2</v>
      </c>
      <c r="V15" s="14">
        <f t="shared" si="13"/>
        <v>2.3057908361353106E-2</v>
      </c>
      <c r="W15" s="14">
        <f t="shared" si="7"/>
        <v>16.827991464645407</v>
      </c>
      <c r="X15" s="14">
        <f t="shared" si="8"/>
        <v>3.2775558604061823</v>
      </c>
      <c r="Y15" s="14">
        <f t="shared" si="9"/>
        <v>29.77394131203453</v>
      </c>
      <c r="Z15" s="14">
        <f t="shared" si="14"/>
        <v>116.58972942649476</v>
      </c>
      <c r="AA15" s="14">
        <f t="shared" si="15"/>
        <v>149.64122659893548</v>
      </c>
      <c r="AB15" s="14">
        <f t="shared" si="16"/>
        <v>0.23269943292269354</v>
      </c>
    </row>
    <row r="16" spans="1:28">
      <c r="A16" s="18">
        <v>15</v>
      </c>
      <c r="B16" s="18">
        <v>9</v>
      </c>
      <c r="C16" s="18">
        <v>4.6E-5</v>
      </c>
      <c r="D16" s="18">
        <v>5.2999999999999999E-2</v>
      </c>
      <c r="E16" s="18">
        <v>50</v>
      </c>
      <c r="F16" s="18">
        <v>0.11700000000000001</v>
      </c>
      <c r="G16" s="18">
        <v>3.59</v>
      </c>
      <c r="H16" s="18">
        <f t="shared" si="0"/>
        <v>30.683760683760681</v>
      </c>
      <c r="I16" s="14">
        <f t="shared" si="17"/>
        <v>30.683760683760681</v>
      </c>
      <c r="J16" s="14">
        <v>287</v>
      </c>
      <c r="K16" s="14">
        <v>101</v>
      </c>
      <c r="L16" s="14">
        <f t="shared" si="1"/>
        <v>244.5</v>
      </c>
      <c r="M16" s="14">
        <f t="shared" si="2"/>
        <v>4.6140490658929014</v>
      </c>
      <c r="N16" s="14">
        <f t="shared" si="10"/>
        <v>1.2010797826164512</v>
      </c>
      <c r="O16" s="14">
        <f t="shared" si="10"/>
        <v>2.9075644242546765</v>
      </c>
      <c r="P16" s="14">
        <f t="shared" si="11"/>
        <v>33.86581545496702</v>
      </c>
      <c r="Q16" s="14">
        <f t="shared" si="12"/>
        <v>9.0076642070372213</v>
      </c>
      <c r="R16" s="14">
        <f t="shared" si="3"/>
        <v>44.154237007250302</v>
      </c>
      <c r="S16" s="14">
        <f t="shared" si="4"/>
        <v>18.239582567412192</v>
      </c>
      <c r="T16" s="14">
        <f t="shared" si="5"/>
        <v>156152.01963733131</v>
      </c>
      <c r="U16" s="14">
        <f t="shared" si="6"/>
        <v>2.1015828411479327E-2</v>
      </c>
      <c r="V16" s="14">
        <f t="shared" si="13"/>
        <v>1.3889810088455259E-2</v>
      </c>
      <c r="W16" s="14">
        <f t="shared" si="7"/>
        <v>25.308355261464964</v>
      </c>
      <c r="X16" s="14">
        <f t="shared" si="8"/>
        <v>9.5889220668983377</v>
      </c>
      <c r="Y16" s="14">
        <f t="shared" si="9"/>
        <v>82.748403676529477</v>
      </c>
      <c r="Z16" s="14">
        <f t="shared" si="14"/>
        <v>194.45905444915729</v>
      </c>
      <c r="AA16" s="14">
        <f t="shared" si="15"/>
        <v>286.7963801925851</v>
      </c>
      <c r="AB16" s="14">
        <f t="shared" si="16"/>
        <v>0.10698796359687801</v>
      </c>
    </row>
    <row r="17" spans="1:28">
      <c r="A17" s="18">
        <v>16</v>
      </c>
      <c r="B17" s="18">
        <v>9</v>
      </c>
      <c r="C17" s="18">
        <v>4.6E-5</v>
      </c>
      <c r="D17" s="18">
        <v>5.2999999999999999E-2</v>
      </c>
      <c r="E17" s="18">
        <v>50</v>
      </c>
      <c r="F17" s="18">
        <v>8.5800000000000001E-2</v>
      </c>
      <c r="G17" s="18">
        <v>3.3290000000000002</v>
      </c>
      <c r="H17" s="18">
        <f t="shared" si="0"/>
        <v>38.799533799533798</v>
      </c>
      <c r="I17" s="14">
        <f t="shared" si="17"/>
        <v>38.799533799533798</v>
      </c>
      <c r="J17" s="14">
        <v>242</v>
      </c>
      <c r="K17" s="14">
        <v>101</v>
      </c>
      <c r="L17" s="14">
        <f t="shared" si="1"/>
        <v>222</v>
      </c>
      <c r="M17" s="14">
        <f t="shared" si="2"/>
        <v>4.0789145092816117</v>
      </c>
      <c r="N17" s="14">
        <f t="shared" si="10"/>
        <v>1.2010797826164512</v>
      </c>
      <c r="O17" s="14">
        <f t="shared" si="10"/>
        <v>2.6399971459490312</v>
      </c>
      <c r="P17" s="14">
        <f t="shared" si="11"/>
        <v>23.393190702814145</v>
      </c>
      <c r="Q17" s="14">
        <f t="shared" si="12"/>
        <v>7.6048140636254367</v>
      </c>
      <c r="R17" s="14">
        <f t="shared" si="3"/>
        <v>32.379773805316887</v>
      </c>
      <c r="S17" s="14">
        <f t="shared" si="4"/>
        <v>14.731338533049575</v>
      </c>
      <c r="T17" s="14">
        <f t="shared" si="5"/>
        <v>114511.48106737628</v>
      </c>
      <c r="U17" s="14">
        <f t="shared" si="6"/>
        <v>2.1578816382260228E-2</v>
      </c>
      <c r="V17" s="14">
        <f t="shared" si="13"/>
        <v>1.6647184328042752E-2</v>
      </c>
      <c r="W17" s="14">
        <f t="shared" si="7"/>
        <v>20.440486929642645</v>
      </c>
      <c r="X17" s="14">
        <f t="shared" si="8"/>
        <v>5.8314913508128399</v>
      </c>
      <c r="Y17" s="14">
        <f t="shared" si="9"/>
        <v>61.564396458633261</v>
      </c>
      <c r="Z17" s="14">
        <f t="shared" si="14"/>
        <v>174.54978247066424</v>
      </c>
      <c r="AA17" s="14">
        <f t="shared" si="15"/>
        <v>241.94567028011033</v>
      </c>
      <c r="AB17" s="14">
        <f t="shared" si="16"/>
        <v>0.1603646544061483</v>
      </c>
    </row>
    <row r="18" spans="1:28">
      <c r="A18" s="18">
        <v>17</v>
      </c>
      <c r="B18" s="18">
        <v>9</v>
      </c>
      <c r="C18" s="18">
        <v>4.6E-5</v>
      </c>
      <c r="D18" s="18">
        <v>5.2999999999999999E-2</v>
      </c>
      <c r="E18" s="18">
        <v>50</v>
      </c>
      <c r="F18" s="18">
        <v>8.2199999999999995E-2</v>
      </c>
      <c r="G18" s="18">
        <v>3.073</v>
      </c>
      <c r="H18" s="18">
        <f t="shared" si="0"/>
        <v>37.384428223844282</v>
      </c>
      <c r="I18" s="14">
        <f t="shared" si="17"/>
        <v>37.384428223844282</v>
      </c>
      <c r="J18" s="14">
        <v>227</v>
      </c>
      <c r="K18" s="14">
        <v>101</v>
      </c>
      <c r="L18" s="14">
        <f t="shared" si="1"/>
        <v>214.5</v>
      </c>
      <c r="M18" s="14">
        <f t="shared" si="2"/>
        <v>3.900536323744515</v>
      </c>
      <c r="N18" s="14">
        <f t="shared" si="10"/>
        <v>1.2010797826164512</v>
      </c>
      <c r="O18" s="14">
        <f t="shared" si="10"/>
        <v>2.5508080531804831</v>
      </c>
      <c r="P18" s="14">
        <f t="shared" si="11"/>
        <v>22.640837642292592</v>
      </c>
      <c r="Q18" s="14">
        <f t="shared" si="12"/>
        <v>7.8114011383107131</v>
      </c>
      <c r="R18" s="14">
        <f t="shared" si="3"/>
        <v>31.021181897401494</v>
      </c>
      <c r="S18" s="14">
        <f t="shared" si="4"/>
        <v>14.606710357284616</v>
      </c>
      <c r="T18" s="14">
        <f t="shared" si="5"/>
        <v>109706.80354007374</v>
      </c>
      <c r="U18" s="14">
        <f t="shared" si="6"/>
        <v>2.166644537991377E-2</v>
      </c>
      <c r="V18" s="14">
        <f t="shared" si="13"/>
        <v>1.7161818734819208E-2</v>
      </c>
      <c r="W18" s="14">
        <f t="shared" si="7"/>
        <v>20.267558950825673</v>
      </c>
      <c r="X18" s="14">
        <f t="shared" si="8"/>
        <v>5.5620439973199449</v>
      </c>
      <c r="Y18" s="14">
        <f t="shared" si="9"/>
        <v>56.402902628375031</v>
      </c>
      <c r="Z18" s="14">
        <f t="shared" si="14"/>
        <v>164.70273344768631</v>
      </c>
      <c r="AA18" s="14">
        <f t="shared" si="15"/>
        <v>226.66768007338129</v>
      </c>
      <c r="AB18" s="14">
        <f t="shared" si="16"/>
        <v>0.16493056359751626</v>
      </c>
    </row>
    <row r="19" spans="1:28">
      <c r="A19" s="18">
        <v>18</v>
      </c>
      <c r="B19" s="18">
        <v>9</v>
      </c>
      <c r="C19" s="18">
        <v>4.6E-5</v>
      </c>
      <c r="D19" s="18">
        <v>5.2999999999999999E-2</v>
      </c>
      <c r="E19" s="18">
        <v>50</v>
      </c>
      <c r="F19" s="18">
        <v>6.4699999999999994E-2</v>
      </c>
      <c r="G19" s="18">
        <v>3.073</v>
      </c>
      <c r="H19" s="18">
        <f t="shared" si="0"/>
        <v>47.496136012364765</v>
      </c>
      <c r="I19" s="14">
        <f t="shared" si="17"/>
        <v>47.496136012364765</v>
      </c>
      <c r="J19" s="14">
        <v>208</v>
      </c>
      <c r="K19" s="14">
        <v>101</v>
      </c>
      <c r="L19" s="14">
        <f t="shared" si="1"/>
        <v>205</v>
      </c>
      <c r="M19" s="14">
        <f t="shared" si="2"/>
        <v>3.6745906220641924</v>
      </c>
      <c r="N19" s="14">
        <f t="shared" si="10"/>
        <v>1.2010797826164512</v>
      </c>
      <c r="O19" s="14">
        <f t="shared" si="10"/>
        <v>2.4378352023403216</v>
      </c>
      <c r="P19" s="14">
        <f t="shared" si="11"/>
        <v>16.607223256703843</v>
      </c>
      <c r="Q19" s="14">
        <f t="shared" si="12"/>
        <v>6.5724419592387848</v>
      </c>
      <c r="R19" s="14">
        <f t="shared" si="3"/>
        <v>24.416915678368326</v>
      </c>
      <c r="S19" s="14">
        <f t="shared" si="4"/>
        <v>12.029797480561957</v>
      </c>
      <c r="T19" s="14">
        <f t="shared" si="5"/>
        <v>86350.732226797714</v>
      </c>
      <c r="U19" s="14">
        <f t="shared" si="6"/>
        <v>2.2204299730022307E-2</v>
      </c>
      <c r="V19" s="14">
        <f t="shared" si="13"/>
        <v>1.9968176272060174E-2</v>
      </c>
      <c r="W19" s="14">
        <f t="shared" si="7"/>
        <v>16.691960314129808</v>
      </c>
      <c r="X19" s="14">
        <f t="shared" si="8"/>
        <v>3.6950659694831938</v>
      </c>
      <c r="Y19" s="14">
        <f t="shared" si="9"/>
        <v>46.194670898454689</v>
      </c>
      <c r="Z19" s="14">
        <f t="shared" si="14"/>
        <v>157.82717998011665</v>
      </c>
      <c r="AA19" s="14">
        <f t="shared" si="15"/>
        <v>207.71691684805455</v>
      </c>
      <c r="AB19" s="14">
        <f t="shared" si="16"/>
        <v>0.22865800596832617</v>
      </c>
    </row>
    <row r="20" spans="1:28">
      <c r="A20" s="18">
        <v>19</v>
      </c>
      <c r="B20" s="18">
        <v>9</v>
      </c>
      <c r="C20" s="18">
        <v>4.6E-5</v>
      </c>
      <c r="D20" s="18">
        <v>5.2999999999999999E-2</v>
      </c>
      <c r="E20" s="18">
        <v>50</v>
      </c>
      <c r="F20" s="18">
        <v>4.9500000000000002E-2</v>
      </c>
      <c r="G20" s="18">
        <v>2.62</v>
      </c>
      <c r="H20" s="18">
        <f t="shared" si="0"/>
        <v>52.929292929292927</v>
      </c>
      <c r="I20" s="14">
        <f t="shared" si="17"/>
        <v>52.929292929292927</v>
      </c>
      <c r="J20" s="14">
        <v>172</v>
      </c>
      <c r="K20" s="14">
        <v>101</v>
      </c>
      <c r="L20" s="14">
        <f t="shared" si="1"/>
        <v>187</v>
      </c>
      <c r="M20" s="14">
        <f t="shared" si="2"/>
        <v>3.2464829767751602</v>
      </c>
      <c r="N20" s="14">
        <f t="shared" si="10"/>
        <v>1.2010797826164512</v>
      </c>
      <c r="O20" s="14">
        <f t="shared" si="10"/>
        <v>2.2237813796958057</v>
      </c>
      <c r="P20" s="14">
        <f t="shared" si="11"/>
        <v>12.257215479994279</v>
      </c>
      <c r="Q20" s="14">
        <f t="shared" si="12"/>
        <v>6.0784616557584421</v>
      </c>
      <c r="R20" s="14">
        <f t="shared" si="3"/>
        <v>18.680638733836666</v>
      </c>
      <c r="S20" s="14">
        <f t="shared" si="4"/>
        <v>10.089542845548147</v>
      </c>
      <c r="T20" s="14">
        <f t="shared" si="5"/>
        <v>66064.316000409395</v>
      </c>
      <c r="U20" s="14">
        <f t="shared" si="6"/>
        <v>2.2912215611302394E-2</v>
      </c>
      <c r="V20" s="14">
        <f t="shared" si="13"/>
        <v>2.4184209316294857E-2</v>
      </c>
      <c r="W20" s="14">
        <f t="shared" si="7"/>
        <v>13.99975760504114</v>
      </c>
      <c r="X20" s="14">
        <f t="shared" si="8"/>
        <v>2.4466187171310154</v>
      </c>
      <c r="Y20" s="14">
        <f t="shared" si="9"/>
        <v>32.962759188464609</v>
      </c>
      <c r="Z20" s="14">
        <f t="shared" si="14"/>
        <v>136.68699371853847</v>
      </c>
      <c r="AA20" s="14">
        <f t="shared" si="15"/>
        <v>172.09637162413409</v>
      </c>
      <c r="AB20" s="14">
        <f t="shared" si="16"/>
        <v>0.30755612352416578</v>
      </c>
    </row>
    <row r="21" spans="1:28">
      <c r="A21" s="18">
        <v>20</v>
      </c>
      <c r="B21" s="18">
        <v>9</v>
      </c>
      <c r="C21" s="18">
        <v>4.6E-5</v>
      </c>
      <c r="D21" s="18">
        <v>5.2999999999999999E-2</v>
      </c>
      <c r="E21" s="18">
        <v>50</v>
      </c>
      <c r="F21" s="18">
        <v>8.2600000000000007E-2</v>
      </c>
      <c r="G21" s="18">
        <v>3.8410000000000002</v>
      </c>
      <c r="H21" s="18">
        <f t="shared" si="0"/>
        <v>46.501210653753027</v>
      </c>
      <c r="I21" s="14">
        <f t="shared" si="17"/>
        <v>46.501210653753027</v>
      </c>
      <c r="J21" s="14">
        <v>260</v>
      </c>
      <c r="K21" s="14">
        <v>101</v>
      </c>
      <c r="L21" s="14">
        <f t="shared" si="1"/>
        <v>231</v>
      </c>
      <c r="M21" s="14">
        <f t="shared" si="2"/>
        <v>4.2929683319261276</v>
      </c>
      <c r="N21" s="14">
        <f t="shared" si="10"/>
        <v>1.2010797826164512</v>
      </c>
      <c r="O21" s="14">
        <f t="shared" si="10"/>
        <v>2.7470240572712896</v>
      </c>
      <c r="P21" s="14">
        <f t="shared" si="11"/>
        <v>21.344813225486451</v>
      </c>
      <c r="Q21" s="14">
        <f t="shared" si="12"/>
        <v>6.6735869832206651</v>
      </c>
      <c r="R21" s="14">
        <f t="shared" si="3"/>
        <v>31.172136553836541</v>
      </c>
      <c r="S21" s="14">
        <f t="shared" si="4"/>
        <v>13.629375722673117</v>
      </c>
      <c r="T21" s="14">
        <f t="shared" si="5"/>
        <v>110240.65659866294</v>
      </c>
      <c r="U21" s="14">
        <f t="shared" si="6"/>
        <v>2.1656394219587635E-2</v>
      </c>
      <c r="V21" s="14">
        <f t="shared" si="13"/>
        <v>1.6950923257791854E-2</v>
      </c>
      <c r="W21" s="14">
        <f t="shared" si="7"/>
        <v>18.911457074553887</v>
      </c>
      <c r="X21" s="14">
        <f t="shared" si="8"/>
        <v>5.2127233692238901</v>
      </c>
      <c r="Y21" s="14">
        <f t="shared" si="9"/>
        <v>65.445958617310168</v>
      </c>
      <c r="Z21" s="14">
        <f t="shared" si="14"/>
        <v>189.73006142121901</v>
      </c>
      <c r="AA21" s="14">
        <f t="shared" si="15"/>
        <v>260.38874340775305</v>
      </c>
      <c r="AB21" s="14">
        <f t="shared" si="16"/>
        <v>0.17858379761422688</v>
      </c>
    </row>
    <row r="22" spans="1:28">
      <c r="A22" s="18">
        <v>21</v>
      </c>
      <c r="B22" s="18">
        <v>9</v>
      </c>
      <c r="C22" s="18">
        <v>4.6E-5</v>
      </c>
      <c r="D22" s="18">
        <v>5.2999999999999999E-2</v>
      </c>
      <c r="E22" s="18">
        <v>50</v>
      </c>
      <c r="F22" s="18">
        <v>6.6100000000000006E-2</v>
      </c>
      <c r="G22" s="18">
        <v>3.585</v>
      </c>
      <c r="H22" s="18">
        <f t="shared" si="0"/>
        <v>54.236006051437208</v>
      </c>
      <c r="I22" s="14">
        <f t="shared" si="17"/>
        <v>54.236006051437208</v>
      </c>
      <c r="J22" s="14">
        <v>230</v>
      </c>
      <c r="K22" s="14">
        <v>101</v>
      </c>
      <c r="L22" s="14">
        <f t="shared" si="1"/>
        <v>216</v>
      </c>
      <c r="M22" s="14">
        <f t="shared" si="2"/>
        <v>3.9362119608519341</v>
      </c>
      <c r="N22" s="14">
        <f t="shared" si="10"/>
        <v>1.2010797826164512</v>
      </c>
      <c r="O22" s="14">
        <f t="shared" si="10"/>
        <v>2.5686458717341929</v>
      </c>
      <c r="P22" s="14">
        <f t="shared" si="11"/>
        <v>16.229939294690219</v>
      </c>
      <c r="Q22" s="14">
        <f t="shared" si="12"/>
        <v>5.9724551252738376</v>
      </c>
      <c r="R22" s="14">
        <f t="shared" si="3"/>
        <v>24.945256975890985</v>
      </c>
      <c r="S22" s="14">
        <f t="shared" si="4"/>
        <v>11.664217382245322</v>
      </c>
      <c r="T22" s="14">
        <f t="shared" si="5"/>
        <v>88219.217931859821</v>
      </c>
      <c r="U22" s="14">
        <f t="shared" si="6"/>
        <v>2.2152713937220556E-2</v>
      </c>
      <c r="V22" s="14">
        <f t="shared" si="13"/>
        <v>1.9509551202732227E-2</v>
      </c>
      <c r="W22" s="14">
        <f t="shared" si="7"/>
        <v>16.184699198338198</v>
      </c>
      <c r="X22" s="14">
        <f t="shared" si="8"/>
        <v>3.6517961148660083</v>
      </c>
      <c r="Y22" s="14">
        <f t="shared" si="9"/>
        <v>52.119648299235166</v>
      </c>
      <c r="Z22" s="14">
        <f t="shared" si="14"/>
        <v>174.42734179862879</v>
      </c>
      <c r="AA22" s="14">
        <f t="shared" si="15"/>
        <v>230.19878621272997</v>
      </c>
      <c r="AB22" s="14">
        <f t="shared" si="16"/>
        <v>0.23560509133752314</v>
      </c>
    </row>
    <row r="23" spans="1:28">
      <c r="A23" s="18">
        <v>22</v>
      </c>
      <c r="B23" s="18">
        <v>9</v>
      </c>
      <c r="C23" s="18">
        <v>4.6E-5</v>
      </c>
      <c r="D23" s="18">
        <v>5.2999999999999999E-2</v>
      </c>
      <c r="E23" s="18">
        <v>50</v>
      </c>
      <c r="F23" s="18">
        <v>8.2900000000000001E-2</v>
      </c>
      <c r="G23" s="18">
        <v>4.609</v>
      </c>
      <c r="H23" s="18">
        <f t="shared" si="0"/>
        <v>55.597104945717732</v>
      </c>
      <c r="I23" s="14">
        <f t="shared" si="17"/>
        <v>55.597104945717732</v>
      </c>
      <c r="J23" s="14">
        <v>292</v>
      </c>
      <c r="K23" s="14">
        <v>101</v>
      </c>
      <c r="L23" s="14">
        <f t="shared" si="1"/>
        <v>247</v>
      </c>
      <c r="M23" s="14">
        <f t="shared" si="2"/>
        <v>4.6735084610719344</v>
      </c>
      <c r="N23" s="14">
        <f t="shared" si="10"/>
        <v>1.2010797826164512</v>
      </c>
      <c r="O23" s="14">
        <f t="shared" si="10"/>
        <v>2.9372941218441926</v>
      </c>
      <c r="P23" s="14">
        <f t="shared" si="11"/>
        <v>20.178026970918484</v>
      </c>
      <c r="Q23" s="14">
        <f t="shared" si="12"/>
        <v>5.8666124771680339</v>
      </c>
      <c r="R23" s="14">
        <f t="shared" si="3"/>
        <v>31.285352546162823</v>
      </c>
      <c r="S23" s="14">
        <f t="shared" si="4"/>
        <v>12.792795980414757</v>
      </c>
      <c r="T23" s="14">
        <f t="shared" si="5"/>
        <v>110641.04639260483</v>
      </c>
      <c r="U23" s="14">
        <f t="shared" si="6"/>
        <v>2.16489090294338E-2</v>
      </c>
      <c r="V23" s="14">
        <f t="shared" si="13"/>
        <v>1.6936807581450216E-2</v>
      </c>
      <c r="W23" s="14">
        <f t="shared" si="7"/>
        <v>17.750659822568132</v>
      </c>
      <c r="X23" s="14">
        <f t="shared" si="8"/>
        <v>4.9088361743454048</v>
      </c>
      <c r="Y23" s="14">
        <f t="shared" si="9"/>
        <v>73.457537361957122</v>
      </c>
      <c r="Z23" s="14">
        <f t="shared" si="14"/>
        <v>213.51394947704776</v>
      </c>
      <c r="AA23" s="14">
        <f t="shared" si="15"/>
        <v>291.88032301335028</v>
      </c>
      <c r="AB23" s="14">
        <f t="shared" si="16"/>
        <v>0.19047911271214668</v>
      </c>
    </row>
    <row r="24" spans="1:28">
      <c r="A24" s="18">
        <v>23</v>
      </c>
      <c r="B24" s="18">
        <v>9</v>
      </c>
      <c r="C24" s="18">
        <v>4.6E-5</v>
      </c>
      <c r="D24" s="18">
        <v>5.2999999999999999E-2</v>
      </c>
      <c r="E24" s="18">
        <v>50</v>
      </c>
      <c r="F24" s="18">
        <v>6.0900000000000003E-2</v>
      </c>
      <c r="G24" s="18">
        <v>4.3529999999999998</v>
      </c>
      <c r="H24" s="18">
        <f t="shared" si="0"/>
        <v>71.47783251231526</v>
      </c>
      <c r="I24" s="14">
        <f t="shared" si="17"/>
        <v>71.47783251231526</v>
      </c>
      <c r="J24" s="14">
        <v>253</v>
      </c>
      <c r="K24" s="14">
        <v>101</v>
      </c>
      <c r="L24" s="14">
        <f t="shared" si="1"/>
        <v>227.5</v>
      </c>
      <c r="M24" s="14">
        <f t="shared" si="2"/>
        <v>4.2097251786754821</v>
      </c>
      <c r="N24" s="14">
        <f t="shared" si="10"/>
        <v>1.2010797826164512</v>
      </c>
      <c r="O24" s="14">
        <f t="shared" si="10"/>
        <v>2.7054024806459669</v>
      </c>
      <c r="P24" s="14">
        <f t="shared" si="11"/>
        <v>13.458352629170671</v>
      </c>
      <c r="Q24" s="14">
        <f t="shared" si="12"/>
        <v>4.8940546302188892</v>
      </c>
      <c r="R24" s="14">
        <f t="shared" si="3"/>
        <v>22.982846442235413</v>
      </c>
      <c r="S24" s="14">
        <f t="shared" si="4"/>
        <v>10.203373585344075</v>
      </c>
      <c r="T24" s="14">
        <f t="shared" si="5"/>
        <v>81279.128170200653</v>
      </c>
      <c r="U24" s="14">
        <f t="shared" si="6"/>
        <v>2.2354039349922084E-2</v>
      </c>
      <c r="V24" s="14">
        <f t="shared" si="13"/>
        <v>2.048743788818095E-2</v>
      </c>
      <c r="W24" s="14">
        <f t="shared" si="7"/>
        <v>14.157703588277501</v>
      </c>
      <c r="X24" s="14">
        <f t="shared" si="8"/>
        <v>2.9698848461880831</v>
      </c>
      <c r="Y24" s="14">
        <f t="shared" si="9"/>
        <v>55.117361750454151</v>
      </c>
      <c r="Z24" s="14">
        <f t="shared" si="14"/>
        <v>194.55510179896797</v>
      </c>
      <c r="AA24" s="14">
        <f t="shared" si="15"/>
        <v>252.64234839561021</v>
      </c>
      <c r="AB24" s="14">
        <f t="shared" si="16"/>
        <v>0.28292102636882083</v>
      </c>
    </row>
    <row r="25" spans="1:28">
      <c r="A25" s="18">
        <v>24</v>
      </c>
      <c r="B25" s="18">
        <v>9</v>
      </c>
      <c r="C25" s="18">
        <v>4.6E-5</v>
      </c>
      <c r="D25" s="18">
        <v>5.2999999999999999E-2</v>
      </c>
      <c r="E25" s="18">
        <v>50</v>
      </c>
      <c r="F25" s="18">
        <v>3.6200000000000003E-2</v>
      </c>
      <c r="G25" s="18">
        <v>2.4300000000000002</v>
      </c>
      <c r="H25" s="18">
        <f t="shared" si="0"/>
        <v>67.127071823204417</v>
      </c>
      <c r="I25" s="14">
        <f t="shared" si="17"/>
        <v>67.127071823204417</v>
      </c>
      <c r="J25" s="14">
        <v>150</v>
      </c>
      <c r="K25" s="14">
        <v>101</v>
      </c>
      <c r="L25" s="14">
        <f t="shared" si="1"/>
        <v>176</v>
      </c>
      <c r="M25" s="14">
        <f t="shared" si="2"/>
        <v>2.9848616379874184</v>
      </c>
      <c r="N25" s="14">
        <f t="shared" si="10"/>
        <v>1.2010797826164512</v>
      </c>
      <c r="O25" s="14">
        <f t="shared" si="10"/>
        <v>2.0929707103019348</v>
      </c>
      <c r="P25" s="14">
        <f t="shared" si="11"/>
        <v>8.2068938820005162</v>
      </c>
      <c r="Q25" s="14">
        <f t="shared" si="12"/>
        <v>5.1208734033772014</v>
      </c>
      <c r="R25" s="14">
        <f t="shared" si="3"/>
        <v>13.661396407371463</v>
      </c>
      <c r="S25" s="14">
        <f t="shared" si="4"/>
        <v>7.8397786201393052</v>
      </c>
      <c r="T25" s="14">
        <f t="shared" si="5"/>
        <v>48313.701802319607</v>
      </c>
      <c r="U25" s="14">
        <f t="shared" si="6"/>
        <v>2.3900020076705941E-2</v>
      </c>
      <c r="V25" s="14">
        <f t="shared" si="13"/>
        <v>3.0549010670378535E-2</v>
      </c>
      <c r="W25" s="14">
        <f t="shared" si="7"/>
        <v>10.878094482502926</v>
      </c>
      <c r="X25" s="14">
        <f t="shared" si="8"/>
        <v>1.4502175418149945</v>
      </c>
      <c r="Y25" s="14">
        <f t="shared" si="9"/>
        <v>23.662151804473829</v>
      </c>
      <c r="Z25" s="14">
        <f t="shared" si="14"/>
        <v>124.4313295305529</v>
      </c>
      <c r="AA25" s="14">
        <f t="shared" si="15"/>
        <v>149.54369887684172</v>
      </c>
      <c r="AB25" s="14">
        <f t="shared" si="16"/>
        <v>0.44887930636574414</v>
      </c>
    </row>
    <row r="26" spans="1:28">
      <c r="A26" s="18">
        <v>25</v>
      </c>
      <c r="B26" s="18">
        <v>9</v>
      </c>
      <c r="C26" s="18">
        <v>4.6E-5</v>
      </c>
      <c r="D26" s="18">
        <v>5.2999999999999999E-2</v>
      </c>
      <c r="E26" s="18">
        <v>50</v>
      </c>
      <c r="F26" s="18">
        <v>2.8899999999999999E-2</v>
      </c>
      <c r="G26" s="18">
        <v>1.9850000000000001</v>
      </c>
      <c r="H26" s="18">
        <f t="shared" si="0"/>
        <v>68.68512110726644</v>
      </c>
      <c r="I26" s="14">
        <f t="shared" si="17"/>
        <v>68.68512110726644</v>
      </c>
      <c r="J26" s="14">
        <v>124</v>
      </c>
      <c r="K26" s="14">
        <v>101</v>
      </c>
      <c r="L26" s="14">
        <f t="shared" si="1"/>
        <v>163</v>
      </c>
      <c r="M26" s="14">
        <f t="shared" si="2"/>
        <v>2.6756727830564508</v>
      </c>
      <c r="N26" s="14">
        <f t="shared" si="10"/>
        <v>1.2010797826164512</v>
      </c>
      <c r="O26" s="14">
        <f t="shared" si="10"/>
        <v>1.938376282836451</v>
      </c>
      <c r="P26" s="14">
        <f t="shared" si="11"/>
        <v>6.4917528389202479</v>
      </c>
      <c r="Q26" s="14">
        <f t="shared" si="12"/>
        <v>5.0368070418878563</v>
      </c>
      <c r="R26" s="14">
        <f t="shared" si="3"/>
        <v>10.906473927431911</v>
      </c>
      <c r="S26" s="14">
        <f t="shared" si="4"/>
        <v>6.757999182028362</v>
      </c>
      <c r="T26" s="14">
        <f t="shared" si="5"/>
        <v>38570.883483067293</v>
      </c>
      <c r="U26" s="14">
        <f t="shared" si="6"/>
        <v>2.4730808458326262E-2</v>
      </c>
      <c r="V26" s="14">
        <f t="shared" si="13"/>
        <v>3.7162176414772839E-2</v>
      </c>
      <c r="W26" s="14">
        <f t="shared" si="7"/>
        <v>9.3770700904658622</v>
      </c>
      <c r="X26" s="14">
        <f t="shared" si="8"/>
        <v>1.0327062608238593</v>
      </c>
      <c r="Y26" s="14">
        <f t="shared" si="9"/>
        <v>16.656286421891714</v>
      </c>
      <c r="Z26" s="14">
        <f t="shared" si="14"/>
        <v>106.58652545055322</v>
      </c>
      <c r="AA26" s="14">
        <f t="shared" si="15"/>
        <v>124.2755181332688</v>
      </c>
      <c r="AB26" s="14">
        <f t="shared" si="16"/>
        <v>0.55268424657550708</v>
      </c>
    </row>
    <row r="27" spans="1:28">
      <c r="A27" s="18">
        <v>26</v>
      </c>
      <c r="B27" s="18">
        <v>9</v>
      </c>
      <c r="C27" s="18">
        <v>4.6E-5</v>
      </c>
      <c r="D27" s="18">
        <v>5.2999999999999999E-2</v>
      </c>
      <c r="E27" s="18">
        <v>50</v>
      </c>
      <c r="F27" s="18">
        <v>1.7999999999999999E-2</v>
      </c>
      <c r="G27" s="18">
        <v>1.28</v>
      </c>
      <c r="H27" s="18">
        <f t="shared" si="0"/>
        <v>71.111111111111114</v>
      </c>
      <c r="I27" s="16">
        <f t="shared" si="17"/>
        <v>71.111111111111114</v>
      </c>
      <c r="J27" s="14">
        <v>86</v>
      </c>
      <c r="K27" s="14">
        <v>101</v>
      </c>
      <c r="L27" s="14">
        <f t="shared" si="1"/>
        <v>144</v>
      </c>
      <c r="M27" s="14">
        <f t="shared" si="2"/>
        <v>2.2237813796958057</v>
      </c>
      <c r="N27" s="14">
        <f t="shared" si="10"/>
        <v>1.2010797826164512</v>
      </c>
      <c r="O27" s="14">
        <f t="shared" si="10"/>
        <v>1.7124305811561285</v>
      </c>
      <c r="P27" s="14">
        <f t="shared" si="11"/>
        <v>3.9863138937866132</v>
      </c>
      <c r="Q27" s="14">
        <f t="shared" si="12"/>
        <v>4.9122488035748182</v>
      </c>
      <c r="R27" s="14">
        <f t="shared" si="3"/>
        <v>6.7929595395769686</v>
      </c>
      <c r="S27" s="14">
        <f t="shared" si="4"/>
        <v>4.7645063437310684</v>
      </c>
      <c r="T27" s="14">
        <f t="shared" si="5"/>
        <v>24023.387636512503</v>
      </c>
      <c r="U27" s="14">
        <f t="shared" si="6"/>
        <v>2.6851766789624993E-2</v>
      </c>
      <c r="V27" s="14">
        <f t="shared" si="13"/>
        <v>5.9515304148262602E-2</v>
      </c>
      <c r="W27" s="14">
        <f t="shared" si="7"/>
        <v>6.6109966468249812</v>
      </c>
      <c r="X27" s="14">
        <f t="shared" si="8"/>
        <v>0.49236344278631161</v>
      </c>
      <c r="Y27" s="14">
        <f t="shared" si="9"/>
        <v>7.5685859217566742</v>
      </c>
      <c r="Z27" s="14">
        <f t="shared" si="14"/>
        <v>77.603097273660936</v>
      </c>
      <c r="AA27" s="14">
        <f t="shared" si="15"/>
        <v>85.664046638203928</v>
      </c>
      <c r="AB27" s="14">
        <f t="shared" si="16"/>
        <v>0.83011617944508143</v>
      </c>
    </row>
    <row r="28" spans="1:28">
      <c r="A28" s="18">
        <v>27</v>
      </c>
      <c r="B28" s="18">
        <v>9</v>
      </c>
      <c r="C28" s="18">
        <v>4.6E-5</v>
      </c>
      <c r="D28" s="18">
        <v>5.2999999999999999E-2</v>
      </c>
      <c r="E28" s="18">
        <v>50</v>
      </c>
      <c r="F28" s="18">
        <v>4.65E-2</v>
      </c>
      <c r="G28" s="18">
        <v>3.28</v>
      </c>
      <c r="H28" s="18">
        <f t="shared" si="0"/>
        <v>70.537634408602145</v>
      </c>
      <c r="I28" s="14">
        <f t="shared" si="17"/>
        <v>70.537634408602145</v>
      </c>
      <c r="J28" s="14">
        <v>194</v>
      </c>
      <c r="K28" s="14">
        <v>101</v>
      </c>
      <c r="L28" s="14">
        <f t="shared" si="1"/>
        <v>198</v>
      </c>
      <c r="M28" s="14">
        <f t="shared" si="2"/>
        <v>3.5081043155629019</v>
      </c>
      <c r="N28" s="14">
        <f t="shared" si="10"/>
        <v>1.2010797826164512</v>
      </c>
      <c r="O28" s="14">
        <f t="shared" si="10"/>
        <v>2.3545920490896766</v>
      </c>
      <c r="P28" s="14">
        <f t="shared" si="11"/>
        <v>10.332405282249111</v>
      </c>
      <c r="Q28" s="14">
        <f t="shared" si="12"/>
        <v>4.9410268265101083</v>
      </c>
      <c r="R28" s="14">
        <f t="shared" si="3"/>
        <v>17.548478810573837</v>
      </c>
      <c r="S28" s="14">
        <f t="shared" si="4"/>
        <v>8.9514967670098873</v>
      </c>
      <c r="T28" s="14">
        <f t="shared" si="5"/>
        <v>62060.418060990633</v>
      </c>
      <c r="U28" s="14">
        <f t="shared" si="6"/>
        <v>2.3095087907761578E-2</v>
      </c>
      <c r="V28" s="14">
        <f t="shared" si="13"/>
        <v>2.4761658401464534E-2</v>
      </c>
      <c r="W28" s="14">
        <f t="shared" si="7"/>
        <v>12.420660366762087</v>
      </c>
      <c r="X28" s="14">
        <f t="shared" si="8"/>
        <v>2.055373487440042</v>
      </c>
      <c r="Y28" s="14">
        <f t="shared" si="9"/>
        <v>36.442262367765373</v>
      </c>
      <c r="Z28" s="14">
        <f t="shared" si="14"/>
        <v>155.44320757852654</v>
      </c>
      <c r="AA28" s="14">
        <f t="shared" si="15"/>
        <v>193.94084343373197</v>
      </c>
      <c r="AB28" s="14">
        <f t="shared" si="16"/>
        <v>0.36370695908984374</v>
      </c>
    </row>
    <row r="29" spans="1:28">
      <c r="A29" s="18">
        <v>28</v>
      </c>
      <c r="B29" s="18">
        <v>9</v>
      </c>
      <c r="C29" s="18">
        <v>4.6E-5</v>
      </c>
      <c r="D29" s="18">
        <v>5.2999999999999999E-2</v>
      </c>
      <c r="E29" s="18">
        <v>50</v>
      </c>
      <c r="F29" s="18">
        <v>3.7100000000000001E-2</v>
      </c>
      <c r="G29" s="18">
        <v>2.73</v>
      </c>
      <c r="H29" s="18">
        <f t="shared" si="0"/>
        <v>73.584905660377359</v>
      </c>
      <c r="I29" s="14">
        <f t="shared" si="17"/>
        <v>73.584905660377359</v>
      </c>
      <c r="J29" s="14">
        <v>162</v>
      </c>
      <c r="K29" s="14">
        <v>101</v>
      </c>
      <c r="L29" s="14">
        <f t="shared" si="1"/>
        <v>182</v>
      </c>
      <c r="M29" s="14">
        <f t="shared" si="2"/>
        <v>3.1275641864170955</v>
      </c>
      <c r="N29" s="14">
        <f t="shared" si="10"/>
        <v>1.2010797826164512</v>
      </c>
      <c r="O29" s="14">
        <f t="shared" si="10"/>
        <v>2.1643219845167736</v>
      </c>
      <c r="P29" s="14">
        <f t="shared" si="11"/>
        <v>8.0998152587730701</v>
      </c>
      <c r="Q29" s="14">
        <f t="shared" si="12"/>
        <v>4.7925499424041016</v>
      </c>
      <c r="R29" s="14">
        <f t="shared" si="3"/>
        <v>14.00104438435031</v>
      </c>
      <c r="S29" s="14">
        <f t="shared" si="4"/>
        <v>7.769810345161436</v>
      </c>
      <c r="T29" s="14">
        <f t="shared" si="5"/>
        <v>49514.871184145224</v>
      </c>
      <c r="U29" s="14">
        <f t="shared" si="6"/>
        <v>2.3815732022174491E-2</v>
      </c>
      <c r="V29" s="14">
        <f t="shared" si="13"/>
        <v>2.9545455263945773E-2</v>
      </c>
      <c r="W29" s="14">
        <f t="shared" si="7"/>
        <v>10.781009916360739</v>
      </c>
      <c r="X29" s="14">
        <f t="shared" si="8"/>
        <v>1.4678131736939666</v>
      </c>
      <c r="Y29" s="14">
        <f t="shared" si="9"/>
        <v>26.312215420574226</v>
      </c>
      <c r="Z29" s="14">
        <f t="shared" si="14"/>
        <v>133.99428328523726</v>
      </c>
      <c r="AA29" s="14">
        <f t="shared" si="15"/>
        <v>161.77431187950546</v>
      </c>
      <c r="AB29" s="14">
        <f t="shared" si="16"/>
        <v>0.45486149689318839</v>
      </c>
    </row>
    <row r="30" spans="1:28">
      <c r="A30" s="18">
        <v>29</v>
      </c>
      <c r="B30" s="18">
        <v>9</v>
      </c>
      <c r="C30" s="18">
        <v>4.6E-5</v>
      </c>
      <c r="D30" s="18">
        <v>5.2999999999999999E-2</v>
      </c>
      <c r="E30" s="18">
        <v>50</v>
      </c>
      <c r="F30" s="18">
        <v>2.1100000000000001E-2</v>
      </c>
      <c r="G30" s="18">
        <v>1.8779999999999999</v>
      </c>
      <c r="H30" s="18">
        <f t="shared" si="0"/>
        <v>89.004739336492889</v>
      </c>
      <c r="I30" s="14">
        <f t="shared" si="17"/>
        <v>89.004739336492889</v>
      </c>
      <c r="J30" s="14">
        <v>111</v>
      </c>
      <c r="K30" s="14">
        <v>101</v>
      </c>
      <c r="L30" s="14">
        <f t="shared" si="1"/>
        <v>156.5</v>
      </c>
      <c r="M30" s="14">
        <f t="shared" si="2"/>
        <v>2.521078355590967</v>
      </c>
      <c r="N30" s="14">
        <f t="shared" si="10"/>
        <v>1.2010797826164512</v>
      </c>
      <c r="O30" s="14">
        <f t="shared" si="10"/>
        <v>1.8610790691037091</v>
      </c>
      <c r="P30" s="14">
        <f t="shared" si="11"/>
        <v>4.2327821591728991</v>
      </c>
      <c r="Q30" s="14">
        <f t="shared" si="12"/>
        <v>4.1779323988333124</v>
      </c>
      <c r="R30" s="14">
        <f t="shared" si="3"/>
        <v>7.962858126948559</v>
      </c>
      <c r="S30" s="14">
        <f t="shared" si="4"/>
        <v>5.1389691426313382</v>
      </c>
      <c r="T30" s="14">
        <f t="shared" si="5"/>
        <v>28160.748840578552</v>
      </c>
      <c r="U30" s="14">
        <f t="shared" si="6"/>
        <v>2.607928320708695E-2</v>
      </c>
      <c r="V30" s="14">
        <f t="shared" si="13"/>
        <v>4.7861693034447518E-2</v>
      </c>
      <c r="W30" s="14">
        <f t="shared" si="7"/>
        <v>7.1305829647543568</v>
      </c>
      <c r="X30" s="14">
        <f t="shared" si="8"/>
        <v>0.60461182145778425</v>
      </c>
      <c r="Y30" s="14">
        <f t="shared" si="9"/>
        <v>11.943895288660205</v>
      </c>
      <c r="Z30" s="14">
        <f t="shared" si="14"/>
        <v>98.760248361973908</v>
      </c>
      <c r="AA30" s="14">
        <f t="shared" si="15"/>
        <v>111.30875547209189</v>
      </c>
      <c r="AB30" s="14">
        <f t="shared" si="16"/>
        <v>0.79962029005713553</v>
      </c>
    </row>
    <row r="31" spans="1:28">
      <c r="A31" s="18">
        <v>30</v>
      </c>
      <c r="B31" s="18">
        <v>9</v>
      </c>
      <c r="C31" s="18">
        <v>4.6E-5</v>
      </c>
      <c r="D31" s="18">
        <v>5.2999999999999999E-2</v>
      </c>
      <c r="E31" s="18">
        <v>50</v>
      </c>
      <c r="F31" s="18">
        <v>1.9599999999999999E-2</v>
      </c>
      <c r="G31" s="18">
        <v>1.216</v>
      </c>
      <c r="H31" s="18">
        <f t="shared" si="0"/>
        <v>62.04081632653061</v>
      </c>
      <c r="I31" s="14">
        <f t="shared" si="17"/>
        <v>62.04081632653061</v>
      </c>
      <c r="J31" s="14">
        <v>85</v>
      </c>
      <c r="K31" s="14">
        <v>101</v>
      </c>
      <c r="L31" s="14">
        <f t="shared" si="1"/>
        <v>143.5</v>
      </c>
      <c r="M31" s="14">
        <f t="shared" si="2"/>
        <v>2.2118895006599995</v>
      </c>
      <c r="N31" s="14">
        <f t="shared" si="10"/>
        <v>1.2010797826164512</v>
      </c>
      <c r="O31" s="14">
        <f t="shared" si="10"/>
        <v>1.7064846416382253</v>
      </c>
      <c r="P31" s="14">
        <f t="shared" si="11"/>
        <v>4.5821323244654586</v>
      </c>
      <c r="Q31" s="14">
        <f t="shared" si="12"/>
        <v>5.4203894508119994</v>
      </c>
      <c r="R31" s="14">
        <f t="shared" si="3"/>
        <v>7.3967781653171443</v>
      </c>
      <c r="S31" s="14">
        <f t="shared" si="4"/>
        <v>5.2060947365646797</v>
      </c>
      <c r="T31" s="14">
        <f t="shared" si="5"/>
        <v>26158.799870869174</v>
      </c>
      <c r="U31" s="14">
        <f t="shared" si="6"/>
        <v>2.6429765048940349E-2</v>
      </c>
      <c r="V31" s="14">
        <f t="shared" si="13"/>
        <v>5.6296617298509634E-2</v>
      </c>
      <c r="W31" s="14">
        <f t="shared" si="7"/>
        <v>7.2237231653111991</v>
      </c>
      <c r="X31" s="14">
        <f t="shared" si="8"/>
        <v>0.57661237540653831</v>
      </c>
      <c r="Y31" s="14">
        <f t="shared" si="9"/>
        <v>7.8724898618612142</v>
      </c>
      <c r="Z31" s="14">
        <f t="shared" si="14"/>
        <v>76.199208524487346</v>
      </c>
      <c r="AA31" s="14">
        <f t="shared" si="15"/>
        <v>84.648310761755098</v>
      </c>
      <c r="AB31" s="14">
        <f t="shared" si="16"/>
        <v>0.73292444666906731</v>
      </c>
    </row>
    <row r="32" spans="1:28">
      <c r="A32" s="18">
        <v>31</v>
      </c>
      <c r="B32" s="18">
        <v>9</v>
      </c>
      <c r="C32" s="18">
        <v>4.6E-5</v>
      </c>
      <c r="D32" s="18">
        <v>5.2999999999999999E-2</v>
      </c>
      <c r="E32" s="18">
        <v>50</v>
      </c>
      <c r="F32" s="18">
        <v>1.2500000000000001E-2</v>
      </c>
      <c r="G32" s="18">
        <v>0.64</v>
      </c>
      <c r="H32" s="18">
        <f t="shared" si="0"/>
        <v>51.199999999999996</v>
      </c>
      <c r="I32" s="14">
        <f t="shared" si="17"/>
        <v>51.199999999999996</v>
      </c>
      <c r="J32" s="14">
        <v>54</v>
      </c>
      <c r="K32" s="14">
        <v>101</v>
      </c>
      <c r="L32" s="14">
        <f t="shared" si="1"/>
        <v>128</v>
      </c>
      <c r="M32" s="14">
        <f t="shared" si="2"/>
        <v>1.8432412505499993</v>
      </c>
      <c r="N32" s="14">
        <f t="shared" si="10"/>
        <v>1.2010797826164512</v>
      </c>
      <c r="O32" s="14">
        <f t="shared" si="10"/>
        <v>1.5221605165832253</v>
      </c>
      <c r="P32" s="14">
        <f t="shared" si="11"/>
        <v>3.130424667366011</v>
      </c>
      <c r="Q32" s="14">
        <f t="shared" si="12"/>
        <v>6.225879239495085</v>
      </c>
      <c r="R32" s="14">
        <f t="shared" si="3"/>
        <v>4.7173330135951179</v>
      </c>
      <c r="S32" s="14">
        <f t="shared" si="4"/>
        <v>3.7222705810398979</v>
      </c>
      <c r="T32" s="14">
        <f t="shared" si="5"/>
        <v>16682.90808091146</v>
      </c>
      <c r="U32" s="14">
        <f t="shared" si="6"/>
        <v>2.8883407998812945E-2</v>
      </c>
      <c r="V32" s="14">
        <f t="shared" si="13"/>
        <v>9.9022693823956856E-2</v>
      </c>
      <c r="W32" s="14">
        <f t="shared" si="7"/>
        <v>5.1648411303320172</v>
      </c>
      <c r="X32" s="14">
        <f t="shared" si="8"/>
        <v>0.28733524889631695</v>
      </c>
      <c r="Y32" s="14">
        <f t="shared" si="9"/>
        <v>2.9724229066028451</v>
      </c>
      <c r="Z32" s="14">
        <f t="shared" si="14"/>
        <v>50.436526441960758</v>
      </c>
      <c r="AA32" s="14">
        <f t="shared" si="15"/>
        <v>53.696284597459922</v>
      </c>
      <c r="AB32" s="14">
        <f t="shared" si="16"/>
        <v>0.95351103682175409</v>
      </c>
    </row>
    <row r="33" spans="1:28">
      <c r="A33" s="18">
        <v>32</v>
      </c>
      <c r="B33" s="18">
        <v>9</v>
      </c>
      <c r="C33" s="18">
        <v>4.6E-5</v>
      </c>
      <c r="D33" s="18">
        <v>5.2999999999999999E-2</v>
      </c>
      <c r="E33" s="18">
        <v>50</v>
      </c>
      <c r="F33" s="18">
        <v>3.6200000000000003E-2</v>
      </c>
      <c r="G33" s="18">
        <v>1.4850000000000001</v>
      </c>
      <c r="H33" s="18">
        <f t="shared" si="0"/>
        <v>41.02209944751381</v>
      </c>
      <c r="I33" s="14">
        <f t="shared" si="17"/>
        <v>41.02209944751381</v>
      </c>
      <c r="J33" s="14">
        <v>111</v>
      </c>
      <c r="K33" s="14">
        <v>101</v>
      </c>
      <c r="L33" s="14">
        <f t="shared" si="1"/>
        <v>156.5</v>
      </c>
      <c r="M33" s="14">
        <f t="shared" si="2"/>
        <v>2.521078355590967</v>
      </c>
      <c r="N33" s="14">
        <f t="shared" si="10"/>
        <v>1.2010797826164512</v>
      </c>
      <c r="O33" s="14">
        <f t="shared" si="10"/>
        <v>1.8610790691037091</v>
      </c>
      <c r="P33" s="14">
        <f t="shared" si="11"/>
        <v>9.7153967059502708</v>
      </c>
      <c r="Q33" s="14">
        <f t="shared" si="12"/>
        <v>7.3052812643302127</v>
      </c>
      <c r="R33" s="14">
        <f t="shared" si="3"/>
        <v>13.661396407371463</v>
      </c>
      <c r="S33" s="14">
        <f t="shared" si="4"/>
        <v>8.8166200456518702</v>
      </c>
      <c r="T33" s="14">
        <f t="shared" si="5"/>
        <v>48313.7018023196</v>
      </c>
      <c r="U33" s="14">
        <f t="shared" si="6"/>
        <v>2.3900020076705941E-2</v>
      </c>
      <c r="V33" s="14">
        <f t="shared" si="13"/>
        <v>3.3165946728015809E-2</v>
      </c>
      <c r="W33" s="14">
        <f t="shared" si="7"/>
        <v>12.233512005881884</v>
      </c>
      <c r="X33" s="14">
        <f t="shared" si="8"/>
        <v>1.630915574181719</v>
      </c>
      <c r="Y33" s="14">
        <f t="shared" si="9"/>
        <v>16.413854733748376</v>
      </c>
      <c r="Z33" s="14">
        <f t="shared" si="14"/>
        <v>92.841788085464088</v>
      </c>
      <c r="AA33" s="14">
        <f t="shared" si="15"/>
        <v>110.88655839339418</v>
      </c>
      <c r="AB33" s="14">
        <f t="shared" si="16"/>
        <v>0.36994654755158862</v>
      </c>
    </row>
    <row r="34" spans="1:28">
      <c r="A34" s="18">
        <v>33</v>
      </c>
      <c r="B34" s="18">
        <v>9</v>
      </c>
      <c r="C34" s="18">
        <v>4.6E-5</v>
      </c>
      <c r="D34" s="18">
        <v>5.2999999999999999E-2</v>
      </c>
      <c r="E34" s="18">
        <v>50</v>
      </c>
      <c r="F34" s="18">
        <v>2.1999999999999999E-2</v>
      </c>
      <c r="G34" s="18">
        <v>0.96899999999999997</v>
      </c>
      <c r="H34" s="18">
        <f t="shared" si="0"/>
        <v>44.045454545454547</v>
      </c>
      <c r="I34" s="14">
        <f t="shared" si="17"/>
        <v>44.045454545454547</v>
      </c>
      <c r="J34" s="14">
        <v>76</v>
      </c>
      <c r="K34" s="14">
        <v>101</v>
      </c>
      <c r="L34" s="14">
        <f t="shared" si="1"/>
        <v>139</v>
      </c>
      <c r="M34" s="14">
        <f t="shared" si="2"/>
        <v>2.1048625893377411</v>
      </c>
      <c r="N34" s="14">
        <f t="shared" si="10"/>
        <v>1.2010797826164512</v>
      </c>
      <c r="O34" s="14">
        <f t="shared" si="10"/>
        <v>1.6529711859770961</v>
      </c>
      <c r="P34" s="14">
        <f t="shared" si="11"/>
        <v>5.7813126176517384</v>
      </c>
      <c r="Q34" s="14">
        <f t="shared" si="12"/>
        <v>6.9399731728075142</v>
      </c>
      <c r="R34" s="14">
        <f t="shared" si="3"/>
        <v>8.3025061039274064</v>
      </c>
      <c r="S34" s="14">
        <f t="shared" si="4"/>
        <v>6.0327562337889793</v>
      </c>
      <c r="T34" s="14">
        <f t="shared" si="5"/>
        <v>29361.918222404172</v>
      </c>
      <c r="U34" s="14">
        <f t="shared" si="6"/>
        <v>2.5886762453139166E-2</v>
      </c>
      <c r="V34" s="14">
        <f t="shared" si="13"/>
        <v>5.4382268596430243E-2</v>
      </c>
      <c r="W34" s="14">
        <f t="shared" si="7"/>
        <v>8.3707583441812723</v>
      </c>
      <c r="X34" s="14">
        <f t="shared" si="8"/>
        <v>0.73457934881884834</v>
      </c>
      <c r="Y34" s="14">
        <f t="shared" si="9"/>
        <v>7.3166381158013554</v>
      </c>
      <c r="Z34" s="14">
        <f t="shared" si="14"/>
        <v>67.970332305928167</v>
      </c>
      <c r="AA34" s="14">
        <f t="shared" si="15"/>
        <v>76.021549770548376</v>
      </c>
      <c r="AB34" s="14">
        <f t="shared" si="16"/>
        <v>0.57938117123887234</v>
      </c>
    </row>
    <row r="35" spans="1:28">
      <c r="A35" s="18">
        <v>34</v>
      </c>
      <c r="B35" s="18">
        <v>9</v>
      </c>
      <c r="C35" s="18">
        <v>4.6E-5</v>
      </c>
      <c r="D35" s="18">
        <v>5.2999999999999999E-2</v>
      </c>
      <c r="E35" s="18">
        <v>50</v>
      </c>
      <c r="F35" s="18">
        <v>6.0299999999999999E-2</v>
      </c>
      <c r="G35" s="18">
        <v>1.423</v>
      </c>
      <c r="H35" s="18">
        <f t="shared" si="0"/>
        <v>23.598673300165839</v>
      </c>
      <c r="I35" s="14">
        <f t="shared" si="17"/>
        <v>23.598673300165839</v>
      </c>
      <c r="J35" s="14">
        <v>127</v>
      </c>
      <c r="K35" s="14">
        <v>101</v>
      </c>
      <c r="L35" s="14">
        <f t="shared" si="1"/>
        <v>164.5</v>
      </c>
      <c r="M35" s="14">
        <f t="shared" si="2"/>
        <v>2.71134842016387</v>
      </c>
      <c r="N35" s="14">
        <f t="shared" si="10"/>
        <v>1.2010797826164512</v>
      </c>
      <c r="O35" s="14">
        <f t="shared" si="10"/>
        <v>1.9562141013901606</v>
      </c>
      <c r="P35" s="14">
        <f t="shared" si="11"/>
        <v>18.446407167425342</v>
      </c>
      <c r="Q35" s="14">
        <f t="shared" si="12"/>
        <v>10.885965071736269</v>
      </c>
      <c r="R35" s="14">
        <f t="shared" si="3"/>
        <v>22.756414457582849</v>
      </c>
      <c r="S35" s="14">
        <f t="shared" si="4"/>
        <v>13.972023466357857</v>
      </c>
      <c r="T35" s="14">
        <f t="shared" si="5"/>
        <v>80478.348582316888</v>
      </c>
      <c r="U35" s="14">
        <f t="shared" si="6"/>
        <v>2.2379087519178616E-2</v>
      </c>
      <c r="V35" s="14">
        <f t="shared" si="13"/>
        <v>2.2983563460814632E-2</v>
      </c>
      <c r="W35" s="14">
        <f t="shared" si="7"/>
        <v>19.386898373424749</v>
      </c>
      <c r="X35" s="14">
        <f t="shared" si="8"/>
        <v>4.0312665201853459</v>
      </c>
      <c r="Y35" s="14">
        <f t="shared" si="9"/>
        <v>25.363573790449575</v>
      </c>
      <c r="Z35" s="14">
        <f t="shared" si="14"/>
        <v>97.702142908227358</v>
      </c>
      <c r="AA35" s="14">
        <f t="shared" si="15"/>
        <v>127.09698321886228</v>
      </c>
      <c r="AB35" s="14">
        <f t="shared" si="16"/>
        <v>0.18567453532338127</v>
      </c>
    </row>
    <row r="36" spans="1:28">
      <c r="A36" s="18">
        <v>35</v>
      </c>
      <c r="B36" s="18">
        <v>9</v>
      </c>
      <c r="C36" s="18">
        <v>4.6E-5</v>
      </c>
      <c r="D36" s="18">
        <v>5.2999999999999999E-2</v>
      </c>
      <c r="E36" s="18">
        <v>50</v>
      </c>
      <c r="F36" s="18">
        <v>2.87E-2</v>
      </c>
      <c r="G36" s="18">
        <v>0.96899999999999997</v>
      </c>
      <c r="H36" s="18">
        <f t="shared" si="0"/>
        <v>33.763066202090592</v>
      </c>
      <c r="I36" s="14">
        <f t="shared" si="17"/>
        <v>33.763066202090592</v>
      </c>
      <c r="J36" s="14">
        <v>81</v>
      </c>
      <c r="K36" s="14">
        <v>101</v>
      </c>
      <c r="L36" s="14">
        <f t="shared" si="1"/>
        <v>141.5</v>
      </c>
      <c r="M36" s="14">
        <f t="shared" si="2"/>
        <v>2.1643219845167736</v>
      </c>
      <c r="N36" s="14">
        <f t="shared" si="10"/>
        <v>1.2010797826164512</v>
      </c>
      <c r="O36" s="14">
        <f t="shared" si="10"/>
        <v>1.6827008835666124</v>
      </c>
      <c r="P36" s="14">
        <f t="shared" si="11"/>
        <v>8.1174366786831342</v>
      </c>
      <c r="Q36" s="14">
        <f t="shared" si="12"/>
        <v>8.4071746595830295</v>
      </c>
      <c r="R36" s="14">
        <f t="shared" si="3"/>
        <v>10.830996599214391</v>
      </c>
      <c r="S36" s="14">
        <f t="shared" si="4"/>
        <v>7.7309587033261717</v>
      </c>
      <c r="T36" s="14">
        <f t="shared" si="5"/>
        <v>38303.956953772715</v>
      </c>
      <c r="U36" s="14">
        <f t="shared" si="6"/>
        <v>2.4758139222051528E-2</v>
      </c>
      <c r="V36" s="14">
        <f t="shared" si="13"/>
        <v>4.3924363244186158E-2</v>
      </c>
      <c r="W36" s="14">
        <f t="shared" si="7"/>
        <v>10.727101272869369</v>
      </c>
      <c r="X36" s="14">
        <f t="shared" si="8"/>
        <v>1.174507432454313</v>
      </c>
      <c r="Y36" s="14">
        <f t="shared" si="9"/>
        <v>9.4396408107159768</v>
      </c>
      <c r="Z36" s="14">
        <f t="shared" si="14"/>
        <v>70.353405301923971</v>
      </c>
      <c r="AA36" s="14">
        <f t="shared" si="15"/>
        <v>80.967553545094262</v>
      </c>
      <c r="AB36" s="14">
        <f t="shared" si="16"/>
        <v>0.41699501496345087</v>
      </c>
    </row>
    <row r="37" spans="1:28">
      <c r="A37" s="18">
        <v>36</v>
      </c>
      <c r="B37" s="18">
        <v>9</v>
      </c>
      <c r="C37" s="18">
        <v>4.6E-5</v>
      </c>
      <c r="D37" s="18">
        <v>5.2999999999999999E-2</v>
      </c>
      <c r="E37" s="18">
        <v>50</v>
      </c>
      <c r="F37" s="18">
        <v>0.05</v>
      </c>
      <c r="G37" s="18">
        <v>0.93300000000000005</v>
      </c>
      <c r="H37" s="18">
        <f t="shared" si="0"/>
        <v>18.66</v>
      </c>
      <c r="I37" s="14">
        <f t="shared" si="17"/>
        <v>18.66</v>
      </c>
      <c r="J37" s="14">
        <v>93</v>
      </c>
      <c r="K37" s="14">
        <v>101</v>
      </c>
      <c r="L37" s="14">
        <f t="shared" si="1"/>
        <v>147.5</v>
      </c>
      <c r="M37" s="14">
        <f t="shared" si="2"/>
        <v>2.3070245329464507</v>
      </c>
      <c r="N37" s="14">
        <f t="shared" si="10"/>
        <v>1.2010797826164512</v>
      </c>
      <c r="O37" s="14">
        <f t="shared" si="10"/>
        <v>1.754052157781451</v>
      </c>
      <c r="P37" s="14">
        <f t="shared" si="11"/>
        <v>15.926813784827239</v>
      </c>
      <c r="Q37" s="14">
        <f t="shared" si="12"/>
        <v>12.895327781889023</v>
      </c>
      <c r="R37" s="14">
        <f t="shared" si="3"/>
        <v>18.869332054380472</v>
      </c>
      <c r="S37" s="14">
        <f t="shared" si="4"/>
        <v>12.920695169440188</v>
      </c>
      <c r="T37" s="14">
        <f t="shared" si="5"/>
        <v>66731.632323645841</v>
      </c>
      <c r="U37" s="14">
        <f t="shared" si="6"/>
        <v>2.2883463271875414E-2</v>
      </c>
      <c r="V37" s="14">
        <f t="shared" si="13"/>
        <v>2.883143206368333E-2</v>
      </c>
      <c r="W37" s="14">
        <f t="shared" si="7"/>
        <v>17.928126499864359</v>
      </c>
      <c r="X37" s="14">
        <f t="shared" si="8"/>
        <v>3.1608228502049918</v>
      </c>
      <c r="Y37" s="14">
        <f t="shared" si="9"/>
        <v>15.543955417381239</v>
      </c>
      <c r="Z37" s="14">
        <f t="shared" si="14"/>
        <v>74.311539262820972</v>
      </c>
      <c r="AA37" s="14">
        <f t="shared" si="15"/>
        <v>93.016317530407207</v>
      </c>
      <c r="AB37" s="14">
        <f t="shared" si="16"/>
        <v>0.20060996280464458</v>
      </c>
    </row>
    <row r="38" spans="1:28">
      <c r="A38" s="18">
        <v>37</v>
      </c>
      <c r="B38" s="18">
        <v>9</v>
      </c>
      <c r="C38" s="18">
        <v>4.6E-5</v>
      </c>
      <c r="D38" s="18">
        <v>5.2999999999999999E-2</v>
      </c>
      <c r="E38" s="18">
        <v>50</v>
      </c>
      <c r="F38" s="18">
        <v>8.2900000000000001E-2</v>
      </c>
      <c r="G38" s="18">
        <v>1.28</v>
      </c>
      <c r="H38" s="18">
        <f t="shared" si="0"/>
        <v>15.440289505428227</v>
      </c>
      <c r="I38" s="14">
        <f t="shared" si="17"/>
        <v>15.440289505428227</v>
      </c>
      <c r="J38" s="14">
        <v>135</v>
      </c>
      <c r="K38" s="14">
        <v>101</v>
      </c>
      <c r="L38" s="14">
        <f t="shared" si="1"/>
        <v>168.5</v>
      </c>
      <c r="M38" s="14">
        <f t="shared" si="2"/>
        <v>2.8064834524503217</v>
      </c>
      <c r="N38" s="14">
        <f t="shared" si="10"/>
        <v>1.2010797826164512</v>
      </c>
      <c r="O38" s="14">
        <f t="shared" si="10"/>
        <v>2.0037816175333862</v>
      </c>
      <c r="P38" s="14">
        <f t="shared" si="11"/>
        <v>27.13683228188075</v>
      </c>
      <c r="Q38" s="14">
        <f t="shared" si="12"/>
        <v>14.783321053570852</v>
      </c>
      <c r="R38" s="14">
        <f t="shared" si="3"/>
        <v>31.285352546162823</v>
      </c>
      <c r="S38" s="14">
        <f t="shared" si="4"/>
        <v>18.75264455289285</v>
      </c>
      <c r="T38" s="14">
        <f t="shared" si="5"/>
        <v>110641.04639260481</v>
      </c>
      <c r="U38" s="14">
        <f t="shared" si="6"/>
        <v>2.16489090294338E-2</v>
      </c>
      <c r="V38" s="14">
        <f t="shared" si="13"/>
        <v>1.8836158952346468E-2</v>
      </c>
      <c r="W38" s="14">
        <f t="shared" si="7"/>
        <v>26.020255051479694</v>
      </c>
      <c r="X38" s="14">
        <f t="shared" si="8"/>
        <v>7.1957420478535026</v>
      </c>
      <c r="Y38" s="14">
        <f t="shared" si="9"/>
        <v>31.278697284715012</v>
      </c>
      <c r="Z38" s="14">
        <f t="shared" si="14"/>
        <v>96.669029081332312</v>
      </c>
      <c r="AA38" s="14">
        <f t="shared" si="15"/>
        <v>135.14346841390082</v>
      </c>
      <c r="AB38" s="14">
        <f t="shared" si="16"/>
        <v>0.11425109690199459</v>
      </c>
    </row>
    <row r="39" spans="1:28">
      <c r="A39" s="18">
        <v>38</v>
      </c>
      <c r="B39" s="18">
        <v>9</v>
      </c>
      <c r="C39" s="18">
        <v>4.6E-5</v>
      </c>
      <c r="D39" s="18">
        <v>5.2999999999999999E-2</v>
      </c>
      <c r="E39" s="18">
        <v>50</v>
      </c>
      <c r="F39" s="18">
        <v>7.6799999999999993E-2</v>
      </c>
      <c r="G39" s="18">
        <v>3.073</v>
      </c>
      <c r="H39" s="18">
        <f t="shared" si="0"/>
        <v>40.013020833333336</v>
      </c>
      <c r="I39" s="14">
        <f t="shared" si="17"/>
        <v>40.013020833333336</v>
      </c>
      <c r="J39" s="14">
        <v>221</v>
      </c>
      <c r="K39" s="14">
        <v>101</v>
      </c>
      <c r="L39" s="14">
        <f t="shared" si="1"/>
        <v>211.5</v>
      </c>
      <c r="M39" s="14">
        <f t="shared" si="2"/>
        <v>3.8291850495296762</v>
      </c>
      <c r="N39" s="14">
        <f t="shared" si="10"/>
        <v>1.2010797826164512</v>
      </c>
      <c r="O39" s="14">
        <f t="shared" si="10"/>
        <v>2.5151324160730639</v>
      </c>
      <c r="P39" s="14">
        <f t="shared" si="11"/>
        <v>20.759165928713983</v>
      </c>
      <c r="Q39" s="14">
        <f t="shared" si="12"/>
        <v>7.4377229238169829</v>
      </c>
      <c r="R39" s="14">
        <f t="shared" si="3"/>
        <v>28.983294035528402</v>
      </c>
      <c r="S39" s="14">
        <f t="shared" si="4"/>
        <v>13.840721974413087</v>
      </c>
      <c r="T39" s="14">
        <f t="shared" si="5"/>
        <v>102499.78724912001</v>
      </c>
      <c r="U39" s="14">
        <f t="shared" si="6"/>
        <v>2.1810609232468678E-2</v>
      </c>
      <c r="V39" s="14">
        <f t="shared" si="13"/>
        <v>1.7885001157648541E-2</v>
      </c>
      <c r="W39" s="14">
        <f t="shared" si="7"/>
        <v>19.20471082652136</v>
      </c>
      <c r="X39" s="14">
        <f t="shared" si="8"/>
        <v>4.9569013996135798</v>
      </c>
      <c r="Y39" s="14">
        <f t="shared" si="9"/>
        <v>53.353617027443299</v>
      </c>
      <c r="Z39" s="14">
        <f t="shared" si="14"/>
        <v>162.6420337187794</v>
      </c>
      <c r="AA39" s="14">
        <f t="shared" si="15"/>
        <v>220.95255214583628</v>
      </c>
      <c r="AB39" s="14">
        <f t="shared" si="16"/>
        <v>0.18109327294361083</v>
      </c>
    </row>
    <row r="40" spans="1:28">
      <c r="A40" s="18">
        <v>39</v>
      </c>
      <c r="B40" s="18">
        <v>9</v>
      </c>
      <c r="C40" s="18">
        <v>4.6E-5</v>
      </c>
      <c r="D40" s="18">
        <v>5.2999999999999999E-2</v>
      </c>
      <c r="E40" s="18">
        <v>50</v>
      </c>
      <c r="F40" s="18">
        <v>0.1048</v>
      </c>
      <c r="G40" s="18">
        <v>4.3529999999999998</v>
      </c>
      <c r="H40" s="18">
        <f t="shared" si="0"/>
        <v>41.536259541984727</v>
      </c>
      <c r="I40" s="14">
        <f t="shared" si="17"/>
        <v>41.536259541984727</v>
      </c>
      <c r="J40" s="14">
        <v>308</v>
      </c>
      <c r="K40" s="14">
        <v>101</v>
      </c>
      <c r="L40" s="14">
        <f t="shared" si="1"/>
        <v>255</v>
      </c>
      <c r="M40" s="14">
        <f t="shared" si="2"/>
        <v>4.8637785256448369</v>
      </c>
      <c r="N40" s="14">
        <f t="shared" si="10"/>
        <v>1.2010797826164512</v>
      </c>
      <c r="O40" s="14">
        <f t="shared" si="10"/>
        <v>3.0324291541306443</v>
      </c>
      <c r="P40" s="14">
        <f t="shared" si="11"/>
        <v>28.024883853553852</v>
      </c>
      <c r="Q40" s="14">
        <f t="shared" si="12"/>
        <v>7.2399326686942294</v>
      </c>
      <c r="R40" s="14">
        <f t="shared" si="3"/>
        <v>39.550119985981468</v>
      </c>
      <c r="S40" s="14">
        <f t="shared" si="4"/>
        <v>15.664949484643641</v>
      </c>
      <c r="T40" s="14">
        <f t="shared" si="5"/>
        <v>139869.50135036171</v>
      </c>
      <c r="U40" s="14">
        <f t="shared" si="6"/>
        <v>2.1202013319525405E-2</v>
      </c>
      <c r="V40" s="14">
        <f t="shared" si="13"/>
        <v>1.4765865417775284E-2</v>
      </c>
      <c r="W40" s="14">
        <f t="shared" si="7"/>
        <v>21.735919955678686</v>
      </c>
      <c r="X40" s="14">
        <f t="shared" si="8"/>
        <v>7.4420040647264809</v>
      </c>
      <c r="Y40" s="14">
        <f t="shared" si="9"/>
        <v>85.461738308621378</v>
      </c>
      <c r="Z40" s="14">
        <f t="shared" si="14"/>
        <v>215.27772246826038</v>
      </c>
      <c r="AA40" s="14">
        <f t="shared" si="15"/>
        <v>308.1814648416082</v>
      </c>
      <c r="AB40" s="14">
        <f t="shared" si="16"/>
        <v>0.13477857782048167</v>
      </c>
    </row>
    <row r="41" spans="1:28">
      <c r="A41" s="18">
        <v>40</v>
      </c>
      <c r="B41" s="18">
        <v>9</v>
      </c>
      <c r="C41" s="18">
        <v>4.6E-5</v>
      </c>
      <c r="D41" s="18">
        <v>5.2999999999999999E-2</v>
      </c>
      <c r="E41" s="18">
        <v>50</v>
      </c>
      <c r="F41" s="18">
        <v>1.23E-2</v>
      </c>
      <c r="G41" s="18">
        <v>1.323</v>
      </c>
      <c r="H41" s="18">
        <f t="shared" si="0"/>
        <v>107.5609756097561</v>
      </c>
      <c r="I41" s="14">
        <f t="shared" si="17"/>
        <v>107.5609756097561</v>
      </c>
      <c r="J41" s="14">
        <v>81</v>
      </c>
      <c r="K41" s="14">
        <v>101</v>
      </c>
      <c r="L41" s="14">
        <f t="shared" si="1"/>
        <v>141.5</v>
      </c>
      <c r="M41" s="14">
        <f t="shared" si="2"/>
        <v>2.1643219845167736</v>
      </c>
      <c r="N41" s="14">
        <f t="shared" si="10"/>
        <v>1.2010797826164512</v>
      </c>
      <c r="O41" s="14">
        <f t="shared" si="10"/>
        <v>1.6827008835666124</v>
      </c>
      <c r="P41" s="14">
        <f t="shared" si="11"/>
        <v>2.247915377517089</v>
      </c>
      <c r="Q41" s="14">
        <f t="shared" si="12"/>
        <v>3.6444527017452151</v>
      </c>
      <c r="R41" s="14">
        <f t="shared" si="3"/>
        <v>4.6418556853775961</v>
      </c>
      <c r="S41" s="14">
        <f t="shared" si="4"/>
        <v>3.3132680157112167</v>
      </c>
      <c r="T41" s="14">
        <f t="shared" si="5"/>
        <v>16415.981551616878</v>
      </c>
      <c r="U41" s="14">
        <f t="shared" si="6"/>
        <v>2.898223448299414E-2</v>
      </c>
      <c r="V41" s="14">
        <f t="shared" si="13"/>
        <v>8.0382705087272521E-2</v>
      </c>
      <c r="W41" s="14">
        <f t="shared" si="7"/>
        <v>4.5973291169440156</v>
      </c>
      <c r="X41" s="14">
        <f t="shared" si="8"/>
        <v>0.25253179392269481</v>
      </c>
      <c r="Y41" s="14">
        <f t="shared" si="9"/>
        <v>5.4144900590854856</v>
      </c>
      <c r="Z41" s="14">
        <f t="shared" si="14"/>
        <v>75.335824905626595</v>
      </c>
      <c r="AA41" s="14">
        <f t="shared" si="15"/>
        <v>81.002846758634774</v>
      </c>
      <c r="AB41" s="14">
        <f t="shared" si="16"/>
        <v>1.3278666110372259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Z26"/>
  <sheetViews>
    <sheetView workbookViewId="0">
      <selection sqref="A1:XFD8"/>
    </sheetView>
  </sheetViews>
  <sheetFormatPr defaultRowHeight="15"/>
  <cols>
    <col min="6" max="12" width="9.140625" hidden="1" customWidth="1"/>
    <col min="13" max="13" width="9.140625" customWidth="1"/>
    <col min="20" max="20" width="12" bestFit="1" customWidth="1"/>
  </cols>
  <sheetData>
    <row r="1" spans="1:26">
      <c r="A1" s="12" t="s">
        <v>7</v>
      </c>
      <c r="B1" s="12">
        <v>0.6</v>
      </c>
    </row>
    <row r="2" spans="1:26">
      <c r="A2" s="12" t="s">
        <v>6</v>
      </c>
      <c r="B2" s="12">
        <v>9</v>
      </c>
    </row>
    <row r="3" spans="1:26">
      <c r="A3" s="12" t="s">
        <v>24</v>
      </c>
      <c r="B3" s="12">
        <v>287</v>
      </c>
    </row>
    <row r="4" spans="1:26">
      <c r="A4" s="12" t="s">
        <v>31</v>
      </c>
      <c r="B4" s="12">
        <v>293</v>
      </c>
    </row>
    <row r="5" spans="1:26">
      <c r="A5" s="12" t="s">
        <v>18</v>
      </c>
      <c r="B5" s="12">
        <v>4.5999999999999999E-2</v>
      </c>
    </row>
    <row r="6" spans="1:26">
      <c r="A6" s="12" t="s">
        <v>4</v>
      </c>
      <c r="B6" s="12">
        <v>50</v>
      </c>
    </row>
    <row r="7" spans="1:26">
      <c r="A7" s="12" t="s">
        <v>5</v>
      </c>
      <c r="B7" s="12">
        <v>0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8"/>
    </row>
    <row r="8" spans="1:26">
      <c r="A8" s="12" t="s">
        <v>3</v>
      </c>
      <c r="B8" s="12">
        <v>5.2999999999999999E-2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8"/>
    </row>
    <row r="9" spans="1:26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8"/>
    </row>
    <row r="10" spans="1:26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8"/>
    </row>
    <row r="11" spans="1:26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8"/>
    </row>
    <row r="12" spans="1:26">
      <c r="A12" s="1" t="s">
        <v>0</v>
      </c>
      <c r="B12" s="1" t="s">
        <v>1</v>
      </c>
      <c r="C12" s="2" t="s">
        <v>2</v>
      </c>
      <c r="D12" s="1" t="s">
        <v>28</v>
      </c>
      <c r="E12" s="1" t="s">
        <v>3</v>
      </c>
      <c r="F12" s="1" t="s">
        <v>4</v>
      </c>
      <c r="G12" s="1" t="s">
        <v>5</v>
      </c>
      <c r="H12" s="1" t="s">
        <v>18</v>
      </c>
      <c r="I12" s="5" t="s">
        <v>31</v>
      </c>
      <c r="J12" s="5" t="s">
        <v>24</v>
      </c>
      <c r="K12" s="5" t="s">
        <v>6</v>
      </c>
      <c r="L12" s="5" t="s">
        <v>7</v>
      </c>
      <c r="M12" s="1" t="s">
        <v>29</v>
      </c>
      <c r="N12" s="7" t="s">
        <v>36</v>
      </c>
      <c r="O12" s="6" t="s">
        <v>19</v>
      </c>
      <c r="P12" s="6" t="s">
        <v>35</v>
      </c>
      <c r="Q12" s="6" t="s">
        <v>11</v>
      </c>
      <c r="R12" s="6" t="s">
        <v>10</v>
      </c>
      <c r="S12" s="6" t="s">
        <v>15</v>
      </c>
      <c r="T12" s="6" t="s">
        <v>12</v>
      </c>
      <c r="U12" s="6" t="s">
        <v>37</v>
      </c>
      <c r="V12" s="6" t="s">
        <v>20</v>
      </c>
      <c r="W12" s="6" t="s">
        <v>21</v>
      </c>
      <c r="X12" s="6" t="s">
        <v>22</v>
      </c>
      <c r="Y12" s="6" t="s">
        <v>23</v>
      </c>
      <c r="Z12" s="6" t="s">
        <v>38</v>
      </c>
    </row>
    <row r="13" spans="1:26">
      <c r="A13" s="11">
        <v>8.2900000000000001E-2</v>
      </c>
      <c r="B13" s="11">
        <v>1.28</v>
      </c>
      <c r="C13" s="11">
        <f>B13/A13</f>
        <v>15.440289505428227</v>
      </c>
      <c r="D13" s="11">
        <v>130</v>
      </c>
      <c r="E13" s="11">
        <f>B8</f>
        <v>5.2999999999999999E-2</v>
      </c>
      <c r="F13" s="11">
        <f>B6</f>
        <v>50</v>
      </c>
      <c r="G13" s="11">
        <f>B7</f>
        <v>0</v>
      </c>
      <c r="H13" s="11">
        <f>B5</f>
        <v>4.5999999999999999E-2</v>
      </c>
      <c r="I13" s="11">
        <f>B4</f>
        <v>293</v>
      </c>
      <c r="J13" s="11">
        <f>B3</f>
        <v>287</v>
      </c>
      <c r="K13" s="11">
        <f>B2</f>
        <v>9</v>
      </c>
      <c r="L13" s="11">
        <f>B1</f>
        <v>0.6</v>
      </c>
      <c r="M13" s="11">
        <v>101</v>
      </c>
      <c r="N13" s="9">
        <v>130</v>
      </c>
      <c r="O13" s="11">
        <f>((2*M13)+N13)/2</f>
        <v>166</v>
      </c>
      <c r="P13" s="11">
        <f>O13/(I13*J13)*1000</f>
        <v>1.9740519199438704</v>
      </c>
      <c r="Q13" s="11">
        <f>((4*A13)/(P13*3.1416*(E13)^2))</f>
        <v>19.035019386413445</v>
      </c>
      <c r="R13" s="11">
        <f>(P13*Q13*E13)/(1.8*10^-5)</f>
        <v>110640.78766631486</v>
      </c>
      <c r="S13" s="11" t="e">
        <f>#REF!</f>
        <v>#REF!</v>
      </c>
      <c r="T13" s="11">
        <f>Q13/(9.8*E13)^0.5</f>
        <v>26.412064599599752</v>
      </c>
      <c r="U13" s="11">
        <f>((7.0197*T13^-1.397)/E13^0.5)/100</f>
        <v>3.1471883377313446E-3</v>
      </c>
      <c r="V13" s="11">
        <f>(U13*A13*B6*P13*Q13^2)/(2*B8)</f>
        <v>88.025118977420178</v>
      </c>
      <c r="W13" s="11">
        <f>(B1*B2*(1+A13)*((P13*Q13^2)/2))</f>
        <v>2091.3048071822377</v>
      </c>
      <c r="X13" s="11">
        <f>(U13*C13*F13*P13*Q13^2)/(2*E13)/1000</f>
        <v>16.394853085176496</v>
      </c>
      <c r="Y13" s="11">
        <f>V13+W13+X13</f>
        <v>2195.7247792448347</v>
      </c>
      <c r="Z13">
        <f>D13/Y13</f>
        <v>5.9205962982624025E-2</v>
      </c>
    </row>
    <row r="14" spans="1:26">
      <c r="A14" s="11"/>
    </row>
    <row r="26" spans="15:15">
      <c r="O26">
        <f>106.48*C13^-0.7215</f>
        <v>14.779275441392656</v>
      </c>
    </row>
  </sheetData>
  <phoneticPr fontId="0" type="noConversion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tabSelected="1" topLeftCell="A25" workbookViewId="0">
      <selection activeCell="T66" sqref="T66"/>
    </sheetView>
  </sheetViews>
  <sheetFormatPr defaultRowHeight="1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O26"/>
  <sheetViews>
    <sheetView zoomScaleNormal="100" workbookViewId="0">
      <selection activeCell="C15" sqref="C15"/>
    </sheetView>
  </sheetViews>
  <sheetFormatPr defaultRowHeight="15"/>
  <cols>
    <col min="3" max="3" width="9.140625" style="13"/>
    <col min="4" max="28" width="9.140625" hidden="1" customWidth="1"/>
    <col min="36" max="36" width="12" bestFit="1" customWidth="1"/>
    <col min="41" max="41" width="13.28515625" customWidth="1"/>
  </cols>
  <sheetData>
    <row r="1" spans="1:41">
      <c r="A1" s="12" t="s">
        <v>29</v>
      </c>
      <c r="B1" s="12">
        <v>101</v>
      </c>
    </row>
    <row r="2" spans="1:41">
      <c r="A2" s="12" t="s">
        <v>7</v>
      </c>
      <c r="B2" s="12">
        <v>0.6</v>
      </c>
    </row>
    <row r="3" spans="1:41">
      <c r="A3" s="12" t="s">
        <v>6</v>
      </c>
      <c r="B3" s="12">
        <v>9</v>
      </c>
    </row>
    <row r="4" spans="1:41">
      <c r="A4" s="12" t="s">
        <v>24</v>
      </c>
      <c r="B4" s="12">
        <v>287</v>
      </c>
    </row>
    <row r="5" spans="1:41">
      <c r="A5" s="12" t="s">
        <v>31</v>
      </c>
      <c r="B5" s="12">
        <v>293</v>
      </c>
    </row>
    <row r="6" spans="1:41" ht="18.75">
      <c r="A6" s="30" t="s">
        <v>18</v>
      </c>
      <c r="B6" s="12">
        <v>4.5999999999999999E-2</v>
      </c>
      <c r="C6" s="10" t="s">
        <v>84</v>
      </c>
      <c r="AC6">
        <f>T16</f>
        <v>27.38536683135149</v>
      </c>
    </row>
    <row r="7" spans="1:41">
      <c r="A7" s="12" t="s">
        <v>4</v>
      </c>
      <c r="B7" s="12">
        <v>175</v>
      </c>
      <c r="C7" s="10" t="s">
        <v>81</v>
      </c>
      <c r="D7" s="10" t="s">
        <v>81</v>
      </c>
      <c r="AB7" t="s">
        <v>9</v>
      </c>
      <c r="AC7">
        <f>S16</f>
        <v>14.642255425974065</v>
      </c>
    </row>
    <row r="8" spans="1:41">
      <c r="A8" s="12" t="s">
        <v>5</v>
      </c>
      <c r="B8" s="12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8"/>
    </row>
    <row r="9" spans="1:41">
      <c r="A9" s="12" t="s">
        <v>3</v>
      </c>
      <c r="B9" s="12">
        <f>AC9*0.0254</f>
        <v>0.15239999999999998</v>
      </c>
      <c r="C9" s="29" t="s">
        <v>2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8"/>
      <c r="AC9">
        <v>6</v>
      </c>
      <c r="AD9" t="s">
        <v>85</v>
      </c>
    </row>
    <row r="10" spans="1:41">
      <c r="A10" s="12" t="s">
        <v>1</v>
      </c>
      <c r="B10" s="12">
        <f>30/7</f>
        <v>4.2857142857142856</v>
      </c>
      <c r="C10" s="13" t="s">
        <v>82</v>
      </c>
      <c r="D10">
        <f>(B10/360)*100</f>
        <v>1.1904761904761905</v>
      </c>
      <c r="E10" t="s">
        <v>39</v>
      </c>
      <c r="AC10">
        <f>(B10/360)*100</f>
        <v>1.1904761904761905</v>
      </c>
      <c r="AD10" t="s">
        <v>39</v>
      </c>
    </row>
    <row r="13" spans="1:41">
      <c r="A13" s="51" t="s">
        <v>83</v>
      </c>
      <c r="B13" s="51"/>
    </row>
    <row r="14" spans="1:41">
      <c r="A14" s="13" t="s">
        <v>39</v>
      </c>
      <c r="B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3" t="s">
        <v>15</v>
      </c>
      <c r="X14" s="13"/>
      <c r="Y14" s="13"/>
      <c r="Z14" s="3" t="s">
        <v>16</v>
      </c>
      <c r="AA14" s="13"/>
      <c r="AC14" s="8" t="s">
        <v>104</v>
      </c>
    </row>
    <row r="15" spans="1:41">
      <c r="A15" s="20" t="s">
        <v>0</v>
      </c>
      <c r="B15" s="20" t="s">
        <v>1</v>
      </c>
      <c r="C15" s="20" t="s">
        <v>105</v>
      </c>
      <c r="D15" s="20" t="s">
        <v>28</v>
      </c>
      <c r="E15" s="20" t="s">
        <v>3</v>
      </c>
      <c r="F15" s="20" t="s">
        <v>4</v>
      </c>
      <c r="G15" s="20" t="s">
        <v>5</v>
      </c>
      <c r="H15" s="20" t="s">
        <v>18</v>
      </c>
      <c r="I15" s="20" t="s">
        <v>31</v>
      </c>
      <c r="J15" s="20" t="s">
        <v>24</v>
      </c>
      <c r="K15" s="20" t="s">
        <v>6</v>
      </c>
      <c r="L15" s="20" t="s">
        <v>7</v>
      </c>
      <c r="M15" s="20" t="s">
        <v>29</v>
      </c>
      <c r="N15" s="20" t="s">
        <v>32</v>
      </c>
      <c r="O15" s="24" t="s">
        <v>30</v>
      </c>
      <c r="P15" s="24" t="s">
        <v>25</v>
      </c>
      <c r="Q15" s="24" t="s">
        <v>26</v>
      </c>
      <c r="R15" s="24" t="s">
        <v>27</v>
      </c>
      <c r="S15" s="20" t="s">
        <v>9</v>
      </c>
      <c r="T15" s="20" t="s">
        <v>8</v>
      </c>
      <c r="U15" s="20" t="s">
        <v>11</v>
      </c>
      <c r="V15" s="20" t="s">
        <v>10</v>
      </c>
      <c r="W15" s="21" t="s">
        <v>14</v>
      </c>
      <c r="X15" s="22" t="s">
        <v>33</v>
      </c>
      <c r="Y15" s="22" t="s">
        <v>34</v>
      </c>
      <c r="Z15" s="21" t="s">
        <v>13</v>
      </c>
      <c r="AA15" s="20" t="s">
        <v>12</v>
      </c>
      <c r="AB15" s="25" t="s">
        <v>17</v>
      </c>
      <c r="AC15" s="23" t="s">
        <v>36</v>
      </c>
      <c r="AD15" s="26" t="s">
        <v>19</v>
      </c>
      <c r="AE15" s="26" t="s">
        <v>79</v>
      </c>
      <c r="AF15" s="26" t="s">
        <v>11</v>
      </c>
      <c r="AG15" s="26" t="s">
        <v>10</v>
      </c>
      <c r="AH15" s="26" t="s">
        <v>15</v>
      </c>
      <c r="AI15" s="26" t="s">
        <v>12</v>
      </c>
      <c r="AJ15" s="26" t="s">
        <v>37</v>
      </c>
      <c r="AK15" s="26" t="s">
        <v>20</v>
      </c>
      <c r="AL15" s="26" t="s">
        <v>21</v>
      </c>
      <c r="AM15" s="26" t="s">
        <v>22</v>
      </c>
      <c r="AN15" s="26" t="s">
        <v>23</v>
      </c>
      <c r="AO15" s="26" t="s">
        <v>80</v>
      </c>
    </row>
    <row r="16" spans="1:41">
      <c r="A16" s="13">
        <v>0.6</v>
      </c>
      <c r="B16" s="13">
        <f>D10</f>
        <v>1.1904761904761905</v>
      </c>
      <c r="C16" s="13">
        <f>B16/A16</f>
        <v>1.9841269841269842</v>
      </c>
      <c r="D16" s="9">
        <f>AC16</f>
        <v>87.9</v>
      </c>
      <c r="E16" s="13">
        <f>B9</f>
        <v>0.15239999999999998</v>
      </c>
      <c r="F16" s="13">
        <f>B7</f>
        <v>175</v>
      </c>
      <c r="G16" s="13">
        <f>B8</f>
        <v>0</v>
      </c>
      <c r="H16" s="13">
        <f>B6</f>
        <v>4.5999999999999999E-2</v>
      </c>
      <c r="I16" s="13">
        <f>B5</f>
        <v>293</v>
      </c>
      <c r="J16" s="13">
        <f>B4</f>
        <v>287</v>
      </c>
      <c r="K16" s="13">
        <f>B3</f>
        <v>9</v>
      </c>
      <c r="L16" s="13">
        <f>B2</f>
        <v>0.6</v>
      </c>
      <c r="M16" s="13">
        <v>101</v>
      </c>
      <c r="N16" s="9">
        <f>M16+D16</f>
        <v>188.9</v>
      </c>
      <c r="O16" s="13">
        <f>((2*M16)+D16)/2</f>
        <v>144.94999999999999</v>
      </c>
      <c r="P16" s="13">
        <f>M16/(I16*J16)*1000</f>
        <v>1.2010797826164514</v>
      </c>
      <c r="Q16" s="13">
        <f>N16/(I16*J16)*1000</f>
        <v>2.2463759498638378</v>
      </c>
      <c r="R16" s="13">
        <f>O16/(I16*J16)*1000</f>
        <v>1.7237278662401445</v>
      </c>
      <c r="S16" s="13">
        <f>((4*A16)/(Q16*3.1416*(E16)^2))</f>
        <v>14.642255425974065</v>
      </c>
      <c r="T16" s="13">
        <f>((4*A16)/(P16*3.1416*(E16)^2))</f>
        <v>27.38536683135149</v>
      </c>
      <c r="U16" s="13">
        <f>(4*A16)/(R16*3.1416*(E16^2))</f>
        <v>19.08190444957917</v>
      </c>
      <c r="V16" s="13">
        <f>(P16*E16*T16)/(1.8*10^-5)</f>
        <v>278485.68839768472</v>
      </c>
      <c r="W16" s="3">
        <f>1.325/(LN((H16/(3.7*1000*E16))+(5.74/(V16^0.9))))^2</f>
        <v>1.7188268645531343E-2</v>
      </c>
      <c r="X16" s="4">
        <f>((W16*F16*R16*U16^2)/(2*E16))/1000</f>
        <v>6.1939451504463898</v>
      </c>
      <c r="Y16" s="4">
        <f>(K16*L16*(1+C16)*R16*(U16^2/2))/1000</f>
        <v>5.0570028716609601</v>
      </c>
      <c r="Z16" s="3">
        <f t="shared" ref="Z16" si="0">((2*1000*E16)/(C16*F16*R16*U16^2))*(D16-X16-Y16)</f>
        <v>0.10720180600083107</v>
      </c>
      <c r="AA16" s="13">
        <f>U16/(9.8067*E16)^0.5</f>
        <v>15.608737912620654</v>
      </c>
      <c r="AB16">
        <f>(C16^0.5)*Z16</f>
        <v>0.15100343742697234</v>
      </c>
      <c r="AC16" s="9">
        <v>87.9</v>
      </c>
      <c r="AD16" s="13">
        <f>((2*M16)+AC16)/2</f>
        <v>144.94999999999999</v>
      </c>
      <c r="AE16" s="13">
        <f t="shared" ref="AE16" si="1">AD16/(I16*J16)*1000</f>
        <v>1.7237278662401445</v>
      </c>
      <c r="AF16" s="13">
        <f t="shared" ref="AF16" si="2">((4*A16)/(AE16*3.1416*(E16)^2))</f>
        <v>19.08190444957917</v>
      </c>
      <c r="AG16" s="13">
        <f>V16</f>
        <v>278485.68839768472</v>
      </c>
      <c r="AH16" s="13">
        <f>W16</f>
        <v>1.7188268645531343E-2</v>
      </c>
      <c r="AI16" s="13">
        <f>AF16/(9.81*E16)^0.5</f>
        <v>15.606112368908974</v>
      </c>
      <c r="AJ16" s="13">
        <f>((7.0197*AI16^-1.397)/(C16^0.5))</f>
        <v>0.10727563230762145</v>
      </c>
      <c r="AK16" s="13">
        <f>((AH16*F16*AE16*AF16^2)/(2*E16))/1000</f>
        <v>6.1939451504463898</v>
      </c>
      <c r="AL16" s="13">
        <f>(K16*L16*(1+C16)*((AE16*AF16^2)/2))/1000</f>
        <v>5.0570028716609601</v>
      </c>
      <c r="AM16" s="13">
        <f>((AJ16*C16*F16*AE16*AF16^2)/(2*E16))/1000</f>
        <v>76.70183762244109</v>
      </c>
      <c r="AN16" s="13">
        <f>AK16+AL16+AM16</f>
        <v>87.952785644548442</v>
      </c>
      <c r="AO16">
        <f>AC16/AN16</f>
        <v>0.99939984112883284</v>
      </c>
    </row>
    <row r="26" spans="32:32">
      <c r="AF26" t="s">
        <v>78</v>
      </c>
    </row>
  </sheetData>
  <mergeCells count="1">
    <mergeCell ref="A13:B13"/>
  </mergeCells>
  <phoneticPr fontId="0" type="noConversion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P27"/>
  <sheetViews>
    <sheetView workbookViewId="0">
      <selection activeCell="D17" sqref="D17"/>
    </sheetView>
  </sheetViews>
  <sheetFormatPr defaultRowHeight="15"/>
  <cols>
    <col min="4" max="4" width="9.140625" style="13"/>
    <col min="5" max="29" width="9.140625" hidden="1" customWidth="1"/>
    <col min="37" max="37" width="12" bestFit="1" customWidth="1"/>
    <col min="42" max="42" width="13.28515625" customWidth="1"/>
  </cols>
  <sheetData>
    <row r="1" spans="2:31">
      <c r="B1" s="31" t="s">
        <v>29</v>
      </c>
      <c r="C1" s="31">
        <v>101</v>
      </c>
      <c r="D1" s="10" t="str">
        <f>U17</f>
        <v>C1o</v>
      </c>
      <c r="AD1">
        <f>U18</f>
        <v>10.372207687374379</v>
      </c>
    </row>
    <row r="2" spans="2:31">
      <c r="B2" s="31" t="s">
        <v>7</v>
      </c>
      <c r="C2" s="31">
        <v>0.6</v>
      </c>
      <c r="D2" s="10" t="str">
        <f>T17</f>
        <v>C1i</v>
      </c>
      <c r="AD2">
        <f>T18</f>
        <v>3.2362582487907576</v>
      </c>
    </row>
    <row r="3" spans="2:31">
      <c r="B3" s="31" t="s">
        <v>6</v>
      </c>
      <c r="C3" s="31">
        <v>9</v>
      </c>
      <c r="D3" s="10" t="str">
        <f>T19</f>
        <v>C2i</v>
      </c>
      <c r="AD3">
        <f>T20</f>
        <v>4.6098700832775021</v>
      </c>
    </row>
    <row r="4" spans="2:31">
      <c r="B4" s="31" t="s">
        <v>24</v>
      </c>
      <c r="C4" s="31">
        <v>287</v>
      </c>
      <c r="D4" s="10" t="str">
        <f>U19</f>
        <v>C2o</v>
      </c>
      <c r="AD4">
        <f>U20</f>
        <v>9.1284556104504979</v>
      </c>
    </row>
    <row r="5" spans="2:31">
      <c r="B5" s="31" t="s">
        <v>31</v>
      </c>
      <c r="C5" s="31">
        <v>293</v>
      </c>
      <c r="D5" s="10"/>
    </row>
    <row r="6" spans="2:31" ht="18.75">
      <c r="B6" s="30" t="s">
        <v>18</v>
      </c>
      <c r="C6" s="31">
        <v>4.5999999999999999E-2</v>
      </c>
    </row>
    <row r="7" spans="2:31">
      <c r="B7" s="31" t="s">
        <v>4</v>
      </c>
      <c r="C7" s="31">
        <v>175</v>
      </c>
      <c r="E7" s="10" t="s">
        <v>81</v>
      </c>
      <c r="AC7" t="s">
        <v>9</v>
      </c>
    </row>
    <row r="8" spans="2:31">
      <c r="B8" s="31" t="s">
        <v>5</v>
      </c>
      <c r="C8" s="31">
        <v>0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8"/>
      <c r="Q8" t="s">
        <v>97</v>
      </c>
      <c r="S8" t="s">
        <v>98</v>
      </c>
    </row>
    <row r="9" spans="2:31">
      <c r="B9" s="31" t="s">
        <v>3</v>
      </c>
      <c r="C9" s="31">
        <f>AD9*0.0254</f>
        <v>5.0799999999999998E-2</v>
      </c>
      <c r="E9" s="13"/>
      <c r="F9" s="13"/>
      <c r="G9" s="13"/>
      <c r="H9" s="13"/>
      <c r="I9" s="13"/>
      <c r="J9" s="13"/>
      <c r="K9" s="13"/>
      <c r="L9" s="13"/>
      <c r="M9" s="13" t="s">
        <v>95</v>
      </c>
      <c r="N9" s="13"/>
      <c r="O9" s="8"/>
      <c r="P9" t="s">
        <v>96</v>
      </c>
      <c r="Q9" s="32"/>
      <c r="R9" s="32"/>
      <c r="S9" s="32"/>
      <c r="AD9">
        <v>2</v>
      </c>
      <c r="AE9" t="s">
        <v>85</v>
      </c>
    </row>
    <row r="10" spans="2:31">
      <c r="B10" s="31" t="s">
        <v>1</v>
      </c>
      <c r="C10" s="31">
        <f>30/3.5</f>
        <v>8.5714285714285712</v>
      </c>
      <c r="D10" s="13" t="s">
        <v>82</v>
      </c>
      <c r="E10">
        <f>(C10/360)*100</f>
        <v>2.3809523809523809</v>
      </c>
      <c r="F10" t="s">
        <v>39</v>
      </c>
      <c r="N10" s="32"/>
      <c r="O10" s="32"/>
      <c r="P10" s="32"/>
      <c r="Q10" s="32"/>
      <c r="R10" s="32"/>
      <c r="S10" s="32"/>
      <c r="AD10">
        <f>(C10/360)*100</f>
        <v>2.3809523809523809</v>
      </c>
      <c r="AE10" t="s">
        <v>39</v>
      </c>
    </row>
    <row r="11" spans="2:31">
      <c r="B11" s="31" t="s">
        <v>86</v>
      </c>
      <c r="C11" s="31">
        <v>110</v>
      </c>
      <c r="Q11" s="32"/>
      <c r="R11" s="32"/>
      <c r="S11" s="32"/>
    </row>
    <row r="12" spans="2:31">
      <c r="B12" s="31" t="s">
        <v>87</v>
      </c>
      <c r="C12" s="31">
        <f>C7-C11</f>
        <v>65</v>
      </c>
    </row>
    <row r="13" spans="2:31">
      <c r="B13" s="31" t="s">
        <v>88</v>
      </c>
      <c r="C13" s="31">
        <f>AD13*0.0254</f>
        <v>7.619999999999999E-2</v>
      </c>
      <c r="AD13">
        <v>3</v>
      </c>
      <c r="AE13" t="s">
        <v>85</v>
      </c>
    </row>
    <row r="14" spans="2:31">
      <c r="B14" s="31"/>
      <c r="C14" s="31"/>
    </row>
    <row r="15" spans="2:31">
      <c r="B15" s="51" t="s">
        <v>103</v>
      </c>
      <c r="C15" s="51"/>
    </row>
    <row r="16" spans="2:31">
      <c r="B16" s="13"/>
      <c r="C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37" t="s">
        <v>15</v>
      </c>
      <c r="Y16" s="13"/>
      <c r="Z16" s="13"/>
      <c r="AA16" s="37" t="s">
        <v>16</v>
      </c>
      <c r="AB16" s="13"/>
      <c r="AD16" s="8"/>
    </row>
    <row r="17" spans="1:42">
      <c r="A17" s="38"/>
      <c r="B17" s="39" t="s">
        <v>0</v>
      </c>
      <c r="C17" s="39" t="s">
        <v>1</v>
      </c>
      <c r="D17" s="39" t="s">
        <v>105</v>
      </c>
      <c r="E17" s="39" t="s">
        <v>28</v>
      </c>
      <c r="F17" s="39" t="s">
        <v>3</v>
      </c>
      <c r="G17" s="39" t="s">
        <v>4</v>
      </c>
      <c r="H17" s="39" t="s">
        <v>5</v>
      </c>
      <c r="I17" s="39" t="s">
        <v>18</v>
      </c>
      <c r="J17" s="39" t="s">
        <v>31</v>
      </c>
      <c r="K17" s="39" t="s">
        <v>24</v>
      </c>
      <c r="L17" s="39" t="s">
        <v>6</v>
      </c>
      <c r="M17" s="39" t="s">
        <v>7</v>
      </c>
      <c r="N17" s="39" t="s">
        <v>91</v>
      </c>
      <c r="O17" s="39" t="s">
        <v>92</v>
      </c>
      <c r="P17" s="40" t="s">
        <v>30</v>
      </c>
      <c r="Q17" s="40" t="s">
        <v>25</v>
      </c>
      <c r="R17" s="40" t="s">
        <v>26</v>
      </c>
      <c r="S17" s="40" t="s">
        <v>27</v>
      </c>
      <c r="T17" s="39" t="s">
        <v>99</v>
      </c>
      <c r="U17" s="39" t="s">
        <v>100</v>
      </c>
      <c r="V17" s="39" t="s">
        <v>11</v>
      </c>
      <c r="W17" s="39" t="s">
        <v>10</v>
      </c>
      <c r="X17" s="21" t="s">
        <v>14</v>
      </c>
      <c r="Y17" s="41" t="s">
        <v>33</v>
      </c>
      <c r="Z17" s="41" t="s">
        <v>34</v>
      </c>
      <c r="AA17" s="21" t="s">
        <v>13</v>
      </c>
      <c r="AB17" s="39" t="s">
        <v>12</v>
      </c>
      <c r="AC17" s="42" t="s">
        <v>17</v>
      </c>
      <c r="AD17" s="43" t="s">
        <v>36</v>
      </c>
      <c r="AE17" s="44" t="s">
        <v>19</v>
      </c>
      <c r="AF17" s="44" t="s">
        <v>79</v>
      </c>
      <c r="AG17" s="44" t="s">
        <v>11</v>
      </c>
      <c r="AH17" s="44" t="s">
        <v>10</v>
      </c>
      <c r="AI17" s="44" t="s">
        <v>15</v>
      </c>
      <c r="AJ17" s="44" t="s">
        <v>12</v>
      </c>
      <c r="AK17" s="44" t="s">
        <v>37</v>
      </c>
      <c r="AL17" s="44" t="s">
        <v>20</v>
      </c>
      <c r="AM17" s="44" t="s">
        <v>21</v>
      </c>
      <c r="AN17" s="44" t="s">
        <v>22</v>
      </c>
      <c r="AO17" s="44" t="s">
        <v>23</v>
      </c>
      <c r="AP17" s="44" t="s">
        <v>80</v>
      </c>
    </row>
    <row r="18" spans="1:42">
      <c r="A18" s="45" t="s">
        <v>89</v>
      </c>
      <c r="B18" s="46">
        <f>B20</f>
        <v>0.05</v>
      </c>
      <c r="C18" s="46">
        <f>E10</f>
        <v>2.3809523809523809</v>
      </c>
      <c r="D18" s="46">
        <f>C18/B18</f>
        <v>47.619047619047613</v>
      </c>
      <c r="E18" s="47">
        <f>AD18</f>
        <v>441</v>
      </c>
      <c r="F18" s="46">
        <f>C9</f>
        <v>5.0799999999999998E-2</v>
      </c>
      <c r="G18" s="46">
        <f>C11</f>
        <v>110</v>
      </c>
      <c r="H18" s="46">
        <v>8</v>
      </c>
      <c r="I18" s="46">
        <f>C6</f>
        <v>4.5999999999999999E-2</v>
      </c>
      <c r="J18" s="46">
        <f>C5</f>
        <v>293</v>
      </c>
      <c r="K18" s="46">
        <f>C4</f>
        <v>287</v>
      </c>
      <c r="L18" s="46">
        <f>C3</f>
        <v>9</v>
      </c>
      <c r="M18" s="46">
        <f>C2</f>
        <v>0.6</v>
      </c>
      <c r="N18" s="47">
        <f>O20</f>
        <v>200</v>
      </c>
      <c r="O18" s="47">
        <f>N18+E18</f>
        <v>641</v>
      </c>
      <c r="P18" s="46">
        <f>((2*N18)+E18)/2</f>
        <v>420.5</v>
      </c>
      <c r="Q18" s="46">
        <f>N18/(J18*K18)*1000</f>
        <v>2.3783758071612895</v>
      </c>
      <c r="R18" s="46">
        <f>O18/(J18*K18)*1000</f>
        <v>7.6226944619519328</v>
      </c>
      <c r="S18" s="46">
        <f>P18/(J18*K18)*1000</f>
        <v>5.0005351345566114</v>
      </c>
      <c r="T18" s="46">
        <f>((4*B18)/(R18*3.1416*(F18)^2))</f>
        <v>3.2362582487907576</v>
      </c>
      <c r="U18" s="46">
        <f>((4*B18)/(Q18*3.1416*(F18)^2))</f>
        <v>10.372207687374379</v>
      </c>
      <c r="V18" s="46">
        <f>(4*B18)/(S18*3.1416*(F18^2))</f>
        <v>4.9332735730674795</v>
      </c>
      <c r="W18" s="46">
        <f>(Q18*F18*U18)/(1.8*10^-5)</f>
        <v>69621.422099421179</v>
      </c>
      <c r="X18" s="3">
        <f>1.325/(LN((I18/(3.7*1000*F18))+(5.74/(W18^0.9))))^2</f>
        <v>2.2888068920515443E-2</v>
      </c>
      <c r="Y18" s="48">
        <f>((X18*G18*S18*V18^2)/(2*F18))/1000</f>
        <v>3.0157477493287113</v>
      </c>
      <c r="Z18" s="48">
        <f>(L18*M18*(1+D18)*S18*(V18^2/2))/1000</f>
        <v>15.975596912978865</v>
      </c>
      <c r="AA18" s="3">
        <f t="shared" ref="AA18" si="0">((2*1000*F18)/(D18*G18*S18*V18^2))*(E18-Y18-Z18)</f>
        <v>6.7259679461598498E-2</v>
      </c>
      <c r="AB18" s="46">
        <f>V18/(9.8067*F18)^0.5</f>
        <v>6.9894322368265236</v>
      </c>
      <c r="AC18" s="49">
        <f>(D18^0.5)*AA18</f>
        <v>0.46413588328855421</v>
      </c>
      <c r="AD18" s="47">
        <v>441</v>
      </c>
      <c r="AE18" s="46">
        <f>((2*N18)+AD18)/2</f>
        <v>420.5</v>
      </c>
      <c r="AF18" s="46">
        <f t="shared" ref="AF18" si="1">AE18/(J18*K18)*1000</f>
        <v>5.0005351345566114</v>
      </c>
      <c r="AG18" s="46">
        <f t="shared" ref="AG18" si="2">((4*B18)/(AF18*3.1416*(F18)^2))</f>
        <v>4.9332735730674795</v>
      </c>
      <c r="AH18" s="46">
        <f>W18</f>
        <v>69621.422099421179</v>
      </c>
      <c r="AI18" s="46">
        <f>X18</f>
        <v>2.2888068920515443E-2</v>
      </c>
      <c r="AJ18" s="46">
        <f>AG18/(9.81*F18)^0.5</f>
        <v>6.9882565453670118</v>
      </c>
      <c r="AK18" s="46">
        <f>((7.0197*AJ18^-1.397)/(D18^0.5))</f>
        <v>6.7273640501247484E-2</v>
      </c>
      <c r="AL18" s="46">
        <f>((AI18*G18*AF18*AG18^2)/(2*F18))/1000</f>
        <v>3.0157477493287113</v>
      </c>
      <c r="AM18" s="46">
        <f>(L18*M18*(1+D18)*((AF18*AG18^2)/2))/1000</f>
        <v>15.975596912978867</v>
      </c>
      <c r="AN18" s="46">
        <f>((AK18*D18*G18*AF18*AG18^2)/(2*F18))/1000</f>
        <v>422.09625134791048</v>
      </c>
      <c r="AO18" s="46">
        <f>AL18+AM18+AN18</f>
        <v>441.08759601021808</v>
      </c>
      <c r="AP18" s="49">
        <f>AD18/AO18</f>
        <v>0.99980140903754622</v>
      </c>
    </row>
    <row r="19" spans="1:42" s="33" customFormat="1">
      <c r="B19" s="34"/>
      <c r="C19" s="34"/>
      <c r="D19" s="34"/>
      <c r="E19" s="35"/>
      <c r="F19" s="34"/>
      <c r="G19" s="34"/>
      <c r="H19" s="34"/>
      <c r="I19" s="34"/>
      <c r="J19" s="34"/>
      <c r="K19" s="34"/>
      <c r="L19" s="34"/>
      <c r="M19" s="34"/>
      <c r="N19" s="34" t="s">
        <v>94</v>
      </c>
      <c r="O19" s="34" t="s">
        <v>93</v>
      </c>
      <c r="P19" s="34"/>
      <c r="Q19" s="34"/>
      <c r="R19" s="34"/>
      <c r="S19" s="34"/>
      <c r="T19" s="34" t="s">
        <v>101</v>
      </c>
      <c r="U19" s="34" t="s">
        <v>102</v>
      </c>
      <c r="V19" s="34"/>
      <c r="W19" s="34"/>
      <c r="X19" s="50"/>
      <c r="Y19" s="36"/>
      <c r="Z19" s="36"/>
      <c r="AA19" s="50"/>
      <c r="AB19" s="34"/>
      <c r="AD19" s="35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</row>
    <row r="20" spans="1:42">
      <c r="A20" s="45" t="s">
        <v>90</v>
      </c>
      <c r="B20" s="46">
        <v>0.05</v>
      </c>
      <c r="C20" s="46">
        <f>E10</f>
        <v>2.3809523809523809</v>
      </c>
      <c r="D20" s="46">
        <f>C20/B20</f>
        <v>47.619047619047613</v>
      </c>
      <c r="E20" s="47">
        <f>AD20</f>
        <v>99</v>
      </c>
      <c r="F20" s="46">
        <f>C13</f>
        <v>7.619999999999999E-2</v>
      </c>
      <c r="G20" s="46">
        <f>C12</f>
        <v>65</v>
      </c>
      <c r="H20" s="46">
        <v>8</v>
      </c>
      <c r="I20" s="46">
        <f>C6</f>
        <v>4.5999999999999999E-2</v>
      </c>
      <c r="J20" s="46">
        <f>C5</f>
        <v>293</v>
      </c>
      <c r="K20" s="46">
        <f>C4</f>
        <v>287</v>
      </c>
      <c r="L20" s="46">
        <f>C3</f>
        <v>9</v>
      </c>
      <c r="M20" s="46">
        <f>C2</f>
        <v>0.6</v>
      </c>
      <c r="N20" s="47">
        <v>101</v>
      </c>
      <c r="O20" s="47">
        <f>N20+E20</f>
        <v>200</v>
      </c>
      <c r="P20" s="46">
        <f>((2*N20)+E20)/2</f>
        <v>150.5</v>
      </c>
      <c r="Q20" s="46">
        <f>N20/(J20*K20)*1000</f>
        <v>1.2010797826164514</v>
      </c>
      <c r="R20" s="46">
        <f>O20/(J20*K20)*1000</f>
        <v>2.3783758071612895</v>
      </c>
      <c r="S20" s="46">
        <f>P20/(J20*K20)*1000</f>
        <v>1.7897277948888703</v>
      </c>
      <c r="T20" s="46">
        <f>((4*B20)/(R20*3.1416*(F20)^2))</f>
        <v>4.6098700832775021</v>
      </c>
      <c r="U20" s="46">
        <f>((4*B20)/(Q20*3.1416*(F20)^2))</f>
        <v>9.1284556104504979</v>
      </c>
      <c r="V20" s="46">
        <f>(4*B20)/(S20*3.1416*(F20^2))</f>
        <v>6.1260732003687739</v>
      </c>
      <c r="W20" s="46">
        <f>(Q20*F20*U20)/(1.8*10^-5)</f>
        <v>46414.281399614119</v>
      </c>
      <c r="X20" s="3">
        <f>1.325/(LN((I20/(3.7*1000*F20))+(5.74/(W20^0.9))))^2</f>
        <v>2.3235531215676921E-2</v>
      </c>
      <c r="Y20" s="48">
        <f>((X20*G20*S20*V20^2)/(2*F20))/1000</f>
        <v>0.66562916422252771</v>
      </c>
      <c r="Z20" s="48">
        <f>(L20*M20*(1+D20)*S20*(V20^2/2))/1000</f>
        <v>8.8170145630221821</v>
      </c>
      <c r="AA20" s="3">
        <f t="shared" ref="AA20" si="3">((2*1000*F20)/(D20*G20*S20*V20^2))*(E20-Y20-Z20)</f>
        <v>6.5621598623084698E-2</v>
      </c>
      <c r="AB20" s="46">
        <f>V20/(9.8067*F20)^0.5</f>
        <v>7.0866869954665193</v>
      </c>
      <c r="AC20" s="49">
        <f>(D20^0.5)*AA20</f>
        <v>0.452832051587784</v>
      </c>
      <c r="AD20" s="47">
        <v>99</v>
      </c>
      <c r="AE20" s="46">
        <f>((2*N20)+AD20)/2</f>
        <v>150.5</v>
      </c>
      <c r="AF20" s="46">
        <f t="shared" ref="AF20" si="4">AE20/(J20*K20)*1000</f>
        <v>1.7897277948888703</v>
      </c>
      <c r="AG20" s="46">
        <f t="shared" ref="AG20" si="5">((4*B20)/(AF20*3.1416*(F20)^2))</f>
        <v>6.1260732003687739</v>
      </c>
      <c r="AH20" s="46">
        <f>W20</f>
        <v>46414.281399614119</v>
      </c>
      <c r="AI20" s="46">
        <f>X20</f>
        <v>2.3235531215676921E-2</v>
      </c>
      <c r="AJ20" s="46">
        <f>AG20/(9.81*F20)^0.5</f>
        <v>7.0854949447970954</v>
      </c>
      <c r="AK20" s="46">
        <f>((7.0197*AJ20^-1.397)/(D20^0.5))</f>
        <v>6.598740360000388E-2</v>
      </c>
      <c r="AL20" s="46">
        <f>((AI20*G20*AF20*AG20^2)/(2*F20))/1000</f>
        <v>0.66562916422252771</v>
      </c>
      <c r="AM20" s="46">
        <f>(L20*M20*(1+D20)*((AF20*AG20^2)/2))/1000</f>
        <v>8.8170145630221821</v>
      </c>
      <c r="AN20" s="46">
        <f>((AK20*D20*G20*AF20*AG20^2)/(2*F20))/1000</f>
        <v>90.016367194956473</v>
      </c>
      <c r="AO20" s="46">
        <f>AL20+AM20+AN20</f>
        <v>99.49901092220118</v>
      </c>
      <c r="AP20" s="49">
        <f>AD20/AO20</f>
        <v>0.99498476499840427</v>
      </c>
    </row>
    <row r="27" spans="1:42">
      <c r="AG27" t="s">
        <v>78</v>
      </c>
    </row>
  </sheetData>
  <mergeCells count="1">
    <mergeCell ref="B15:C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inputdata</vt:lpstr>
      <vt:lpstr>Designdata</vt:lpstr>
      <vt:lpstr>Design</vt:lpstr>
      <vt:lpstr>chart</vt:lpstr>
      <vt:lpstr>Dilute phase</vt:lpstr>
      <vt:lpstr>Dense Phase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Majid</dc:creator>
  <cp:lastModifiedBy>Majid</cp:lastModifiedBy>
  <dcterms:created xsi:type="dcterms:W3CDTF">2010-08-09T13:19:02Z</dcterms:created>
  <dcterms:modified xsi:type="dcterms:W3CDTF">2010-08-31T07:24:37Z</dcterms:modified>
</cp:coreProperties>
</file>